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d1LcyV7fHocvMmVCwl9GW3WPwRzkUYxcbbe24PBArU6TWi4WMZe4xyExuYNhHpoOBfopHO64+KsbJBPVKJgf8g==" workbookSaltValue="L95oEboelNHvUd89TfGI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EP19" i="8"/>
  <c r="AJ13" i="16"/>
  <c r="BF11" i="11"/>
  <c r="BG10" i="11"/>
  <c r="BK12" i="11"/>
  <c r="S13" i="16"/>
  <c r="P13" i="16"/>
  <c r="H13" i="21"/>
  <c r="AN13" i="20"/>
  <c r="F15" i="17"/>
  <c r="AQ15" i="17" s="1"/>
  <c r="M18" i="2"/>
  <c r="AO12" i="11"/>
  <c r="E12" i="6"/>
  <c r="BI10" i="11"/>
  <c r="R10" i="21"/>
  <c r="R13" i="21" s="1"/>
  <c r="BH17" i="11"/>
  <c r="BW9" i="20"/>
  <c r="BV15" i="16"/>
  <c r="BU17" i="17"/>
  <c r="T13" i="16"/>
  <c r="S15" i="16"/>
  <c r="BL10" i="11"/>
  <c r="BG16" i="11"/>
  <c r="BK10" i="11"/>
  <c r="T13" i="20"/>
  <c r="BD9" i="8"/>
  <c r="L10" i="2"/>
  <c r="V9" i="16"/>
  <c r="BF15" i="13"/>
  <c r="BG15" i="13"/>
  <c r="BA18" i="13"/>
  <c r="BE15" i="13"/>
  <c r="BF16" i="13"/>
  <c r="W20" i="20"/>
  <c r="AA20" i="20"/>
  <c r="AV20" i="20"/>
  <c r="AP20" i="20"/>
  <c r="M20" i="20"/>
  <c r="AO17" i="11" l="1"/>
  <c r="G18" i="12"/>
  <c r="BD17" i="8"/>
  <c r="R17" i="14"/>
  <c r="BG12" i="8"/>
  <c r="K12" i="7" s="1"/>
  <c r="H13" i="12"/>
  <c r="BG10" i="8"/>
  <c r="F15" i="16"/>
  <c r="BE12" i="21"/>
  <c r="F11" i="11"/>
  <c r="AQ11" i="11" s="1"/>
  <c r="L16" i="2"/>
  <c r="BM9" i="11"/>
  <c r="BK16" i="11"/>
  <c r="BF12" i="11"/>
  <c r="AA15" i="16"/>
  <c r="BU12" i="17"/>
  <c r="BU9" i="17"/>
  <c r="BV16" i="16"/>
  <c r="AP17" i="20"/>
  <c r="BG9" i="11"/>
  <c r="V9" i="11"/>
  <c r="BK15" i="11"/>
  <c r="BK9" i="11"/>
  <c r="P17" i="17"/>
  <c r="BL9" i="11"/>
  <c r="S10" i="14"/>
  <c r="V10" i="14" s="1"/>
  <c r="S17" i="14"/>
  <c r="V17" i="14" s="1"/>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2" i="14"/>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AH20" i="20"/>
  <c r="AI20" i="20"/>
  <c r="AM20" i="20"/>
  <c r="AC20" i="20"/>
  <c r="AB20" i="20"/>
  <c r="I20" i="20"/>
  <c r="AD20" i="20"/>
  <c r="AX20" i="20"/>
  <c r="G18" i="14"/>
  <c r="U12" i="11"/>
  <c r="AJ20" i="20"/>
  <c r="O10" i="11"/>
  <c r="AL20" i="20"/>
  <c r="AG20" i="20"/>
  <c r="AE20" i="20"/>
  <c r="P20" i="20"/>
  <c r="Y20" i="20"/>
  <c r="Q20" i="20"/>
  <c r="F20" i="20"/>
  <c r="AF20" i="20"/>
  <c r="O16" i="11"/>
  <c r="T20" i="21"/>
  <c r="H20" i="20"/>
  <c r="J12" i="12" l="1"/>
  <c r="BJ18"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<sst xmlns="http://schemas.openxmlformats.org/spreadsheetml/2006/main" count="2102" uniqueCount="916">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</sst>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0o08KQ6VQTGyRZGiSoWPpi9JB6zcVb0Ff4rXOlTWOMQYT/miDGcEgfA2EqrpjIM+C38UbVVrC8wsHZpf+AGNQ==" saltValue="Zub4GLzVOjg+25+u+dbb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16</v>
      </c>
      <c r="F10" s="226">
        <f>IF(ISNUMBER(Datos!K10),Datos!K10," - ")</f>
        <v>14</v>
      </c>
      <c r="G10" s="1034" t="str">
        <f>IF(Datos!E10&lt;&gt;"",Datos!E10,Datos!D10)</f>
        <v>37</v>
      </c>
      <c r="H10" s="227">
        <f>IF(ISNUMBER(Datos!L10),Datos!L10," - ")</f>
        <v>18</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14.142857142857144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40.720657276995304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16</v>
      </c>
      <c r="F13" s="1051">
        <f>SUBTOTAL(9,F9:F12)</f>
        <v>14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1852</v>
      </c>
      <c r="D16" s="225">
        <f>IF(ISNUMBER(IF(D_I="SI",Datos!I16,Datos!I16+Datos!AC16)),IF(D_I="SI",Datos!I16,Datos!I16+Datos!AC16)," - ")</f>
        <v>1845</v>
      </c>
      <c r="E16" s="226">
        <f>IF(ISNUMBER(IF(D_I="SI",Datos!J16,Datos!J16+Datos!AD16)),IF(D_I="SI",Datos!J16,Datos!J16+Datos!AD16)," - ")</f>
        <v>878</v>
      </c>
      <c r="F16" s="226">
        <f>IF(ISNUMBER(IF(D_I="SI",Datos!K16,Datos!K16+Datos!AE16)),IF(D_I="SI",Datos!K16,Datos!K16+Datos!AE16)," - ")</f>
        <v>824</v>
      </c>
      <c r="G16" s="1034" t="str">
        <f>IF(Datos!E16&lt;&gt;"",Datos!E16,Datos!D16)</f>
        <v>04</v>
      </c>
      <c r="H16" s="227">
        <f>IF(ISNUMBER(IF(D_I="SI",Datos!L16,Datos!L16+Datos!AF16)),IF(D_I="SI",Datos!L16,Datos!L16+Datos!AF16)," - ")</f>
        <v>1906</v>
      </c>
      <c r="I16" s="1044" t="str">
        <f>IF(ISNUMBER(Datos!AS16/Datos!BM16),Datos!AS16/Datos!BM16," - ")</f>
        <v xml:space="preserve"> - </v>
      </c>
      <c r="J16" s="1045">
        <f>IF(ISNUMBER(Datos!BY16/Datos!CN16),Datos!BY16/Datos!CN16," - ")</f>
        <v>0</v>
      </c>
      <c r="K16" s="230">
        <f t="shared" si="3"/>
        <v>2.9157667386609073E-2</v>
      </c>
      <c r="L16" s="1025">
        <f>IF(ISNUMBER(NºAsuntos!I16/NºAsuntos!G16),(NºAsuntos!I16/NºAsuntos!G16)*11," - ")</f>
        <v>25.444174757281555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56</v>
      </c>
      <c r="D17" s="225">
        <f>IF(ISNUMBER(IF(D_I="SI",Datos!I17,Datos!I17+Datos!AC17)),IF(D_I="SI",Datos!I17,Datos!I17+Datos!AC17)," - ")</f>
        <v>56</v>
      </c>
      <c r="E17" s="226">
        <f>IF(ISNUMBER(IF(D_I="SI",Datos!J17,Datos!J17+Datos!AD17)),IF(D_I="SI",Datos!J17,Datos!J17+Datos!AD17)," - ")</f>
        <v>107</v>
      </c>
      <c r="F17" s="226">
        <f>IF(ISNUMBER(IF(D_I="SI",Datos!K17,Datos!K17+Datos!AE17)),IF(D_I="SI",Datos!K17,Datos!K17+Datos!AE17)," - ")</f>
        <v>67</v>
      </c>
      <c r="G17" s="1034" t="str">
        <f>IF(Datos!E17&lt;&gt;"",Datos!E17,Datos!D17)</f>
        <v>37</v>
      </c>
      <c r="H17" s="227">
        <f>IF(ISNUMBER(IF(D_I="SI",Datos!L17,Datos!L17+Datos!AF17)),IF(D_I="SI",Datos!L17,Datos!L17+Datos!AF17)," - ")</f>
        <v>96</v>
      </c>
      <c r="I17" s="1044" t="str">
        <f>IF(ISNUMBER(Datos!AS17/Datos!BM17),Datos!AS17/Datos!BM17," - ")</f>
        <v xml:space="preserve"> - </v>
      </c>
      <c r="J17" s="1045" t="str">
        <f>IF(ISNUMBER((Datos!BY17+Datos!BZ17)/Datos!CN17),(Datos!BY17+Datos!BZ17)/Datos!CN17," - ")</f>
        <v xml:space="preserve"> - </v>
      </c>
      <c r="K17" s="230">
        <f t="shared" si="3"/>
        <v>0.7142857142857143</v>
      </c>
      <c r="L17" s="1025">
        <f>IF(ISNUMBER(NºAsuntos!I17/NºAsuntos!G17),(NºAsuntos!I17/NºAsuntos!G17)*11," - ")</f>
        <v>15.761194029850746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1908</v>
      </c>
      <c r="D18" s="1049">
        <f>SUBTOTAL(9,D15:D17)</f>
        <v>1901</v>
      </c>
      <c r="E18" s="1050">
        <f>SUBTOTAL(9,E15:E17)</f>
        <v>985</v>
      </c>
      <c r="F18" s="1050">
        <f>SUBTOTAL(9,F15:F17)</f>
        <v>891</v>
      </c>
      <c r="G18" s="1052" t="str">
        <f ca="1">INDIRECT(CONCATENATE("G",ROW()-1))</f>
        <v>37</v>
      </c>
      <c r="H18" s="1053">
        <f ca="1">SUMIF(G$14:G17,G18,H$14:H17)</f>
        <v>96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1924</v>
      </c>
      <c r="D19" s="1071">
        <f>SUBTOTAL(9,D9:D18)</f>
        <v>1917</v>
      </c>
      <c r="E19" s="1072">
        <f>SUBTOTAL(9,E9:E18)</f>
        <v>1001</v>
      </c>
      <c r="F19" s="1072">
        <f>SUBTOTAL(9,F9:F18)</f>
        <v>905</v>
      </c>
      <c r="G19" s="1073"/>
      <c r="H19" s="1074">
        <f ca="1">SUMIF(B9:B18,"TOTAL",H9:H18)</f>
        <v>96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9Rlp4huY6DDAtPBaXiUIEOo3yy85mr31hKbr4MO3DolWdwO/R9ApJPdVvKdhxhViOMC8sIzTSZMu/kGZIJVqyQ==" saltValue="8PpX8kNUc8IO0tXXUb9iB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pu3fhW7oPqWW6RflFVoK8L0qHsHlZhITCsGgUU7cQ4dTnOQe5cho2QUcHiZN4qKVxVScJ1QtOLLgHqhbFfeuw==" saltValue="7wToraXjquwRQ46Y3Q5V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16</v>
      </c>
      <c r="K10" s="181">
        <v>14</v>
      </c>
      <c r="L10" s="181">
        <v>18</v>
      </c>
      <c r="M10" s="181">
        <v>8</v>
      </c>
      <c r="N10" s="181">
        <v>0</v>
      </c>
      <c r="O10" s="181">
        <v>0</v>
      </c>
      <c r="P10" s="181">
        <v>3</v>
      </c>
      <c r="Q10" s="181">
        <v>0</v>
      </c>
      <c r="R10" s="181">
        <v>5</v>
      </c>
      <c r="S10" s="181">
        <v>5</v>
      </c>
      <c r="T10" s="181">
        <v>9</v>
      </c>
      <c r="U10" s="181">
        <v>10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v>
      </c>
      <c r="AZ10" s="129">
        <f t="shared" si="0"/>
        <v>9</v>
      </c>
      <c r="BA10" s="129">
        <f t="shared" si="0"/>
        <v>10</v>
      </c>
      <c r="BB10" s="129">
        <f t="shared" si="0"/>
        <v>4</v>
      </c>
      <c r="BC10" s="125">
        <f t="shared" si="0"/>
        <v>0</v>
      </c>
      <c r="BD10" s="126">
        <f>IF(ISNUMBER(BA10/AZ10),BA10/AZ10," - ")</f>
        <v>1.1111111111111112</v>
      </c>
      <c r="BE10" s="127">
        <f>IF(ISNUMBER(BB10/BA10),BB10/BA10, " - ")</f>
        <v>0.4</v>
      </c>
      <c r="BF10" s="127">
        <f>IF(ISNUMBER(BC10/BA10),BC10/BA10, " - ")</f>
        <v>0</v>
      </c>
      <c r="BG10" s="196">
        <f>IF(ISNUMBER((AY10+AZ10)/BA10),(AY10+AZ10)/BA10," - ")</f>
        <v>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4362</v>
      </c>
      <c r="J12" s="183">
        <v>1442</v>
      </c>
      <c r="K12" s="183">
        <v>1184</v>
      </c>
      <c r="L12" s="183">
        <v>4620</v>
      </c>
      <c r="M12" s="183">
        <v>238</v>
      </c>
      <c r="N12" s="183">
        <v>662</v>
      </c>
      <c r="O12" s="181">
        <v>554</v>
      </c>
      <c r="P12" s="183">
        <v>330</v>
      </c>
      <c r="Q12" s="183">
        <v>202</v>
      </c>
      <c r="R12" s="183">
        <v>5966</v>
      </c>
      <c r="S12" s="183">
        <v>4352</v>
      </c>
      <c r="T12" s="183">
        <v>841</v>
      </c>
      <c r="U12" s="183">
        <v>857</v>
      </c>
      <c r="V12" s="183">
        <v>4336</v>
      </c>
      <c r="W12" s="183">
        <v>263</v>
      </c>
      <c r="X12" s="189">
        <v>250</v>
      </c>
      <c r="Y12" s="191">
        <v>101</v>
      </c>
      <c r="Z12" s="181">
        <v>77</v>
      </c>
      <c r="AA12" s="181">
        <v>94</v>
      </c>
      <c r="AB12" s="181">
        <v>111</v>
      </c>
      <c r="AC12" s="183">
        <v>0</v>
      </c>
      <c r="AD12" s="183">
        <v>0</v>
      </c>
      <c r="AE12" s="183">
        <v>0</v>
      </c>
      <c r="AF12" s="189">
        <v>0</v>
      </c>
      <c r="AG12" s="202">
        <v>95</v>
      </c>
      <c r="AH12" s="183">
        <v>44</v>
      </c>
      <c r="AI12" s="183">
        <v>60</v>
      </c>
      <c r="AJ12" s="203">
        <v>79</v>
      </c>
      <c r="AK12" s="182">
        <v>0</v>
      </c>
      <c r="AL12" s="183">
        <v>0</v>
      </c>
      <c r="AM12" s="183">
        <v>0</v>
      </c>
      <c r="AN12" s="189">
        <v>0</v>
      </c>
      <c r="AO12" s="259">
        <v>4</v>
      </c>
      <c r="AP12" s="155">
        <v>4</v>
      </c>
      <c r="AQ12" s="155">
        <v>4</v>
      </c>
      <c r="AR12" s="154">
        <v>4</v>
      </c>
      <c r="AS12" s="340" t="s">
        <v>794</v>
      </c>
      <c r="AT12" s="203"/>
      <c r="AU12" s="202"/>
      <c r="AV12" s="203"/>
      <c r="AW12" s="202"/>
      <c r="AX12" s="203"/>
      <c r="AY12" s="126">
        <f t="shared" si="1"/>
        <v>4447</v>
      </c>
      <c r="AZ12" s="127">
        <f t="shared" si="1"/>
        <v>885</v>
      </c>
      <c r="BA12" s="127">
        <f t="shared" si="1"/>
        <v>917</v>
      </c>
      <c r="BB12" s="127">
        <f t="shared" si="1"/>
        <v>4415</v>
      </c>
      <c r="BC12" s="125">
        <f>IF(ISNUMBER(X12),X12," - ")</f>
        <v>250</v>
      </c>
      <c r="BD12" s="126">
        <f t="shared" si="2"/>
        <v>1.0361581920903955</v>
      </c>
      <c r="BE12" s="127">
        <f t="shared" si="3"/>
        <v>4.8146128680479823</v>
      </c>
      <c r="BF12" s="127">
        <f t="shared" si="4"/>
        <v>0.27262813522355506</v>
      </c>
      <c r="BG12" s="196">
        <f t="shared" si="5"/>
        <v>5.8146128680479823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4378</v>
      </c>
      <c r="J13" s="184">
        <f t="shared" si="6"/>
        <v>1458</v>
      </c>
      <c r="K13" s="184">
        <f t="shared" si="6"/>
        <v>1198</v>
      </c>
      <c r="L13" s="184">
        <f t="shared" si="6"/>
        <v>4638</v>
      </c>
      <c r="M13" s="184">
        <f t="shared" si="6"/>
        <v>246</v>
      </c>
      <c r="N13" s="184">
        <f t="shared" si="6"/>
        <v>662</v>
      </c>
      <c r="O13" s="184">
        <f t="shared" si="6"/>
        <v>554</v>
      </c>
      <c r="P13" s="184">
        <f t="shared" si="6"/>
        <v>333</v>
      </c>
      <c r="Q13" s="184">
        <f t="shared" si="6"/>
        <v>202</v>
      </c>
      <c r="R13" s="184">
        <f t="shared" si="6"/>
        <v>5971</v>
      </c>
      <c r="S13" s="184">
        <f t="shared" si="6"/>
        <v>4357</v>
      </c>
      <c r="T13" s="184">
        <f t="shared" si="6"/>
        <v>850</v>
      </c>
      <c r="U13" s="184">
        <f t="shared" si="6"/>
        <v>867</v>
      </c>
      <c r="V13" s="184">
        <f t="shared" si="6"/>
        <v>4340</v>
      </c>
      <c r="W13" s="184">
        <f t="shared" si="6"/>
        <v>263</v>
      </c>
      <c r="X13" s="184">
        <f t="shared" si="6"/>
        <v>250</v>
      </c>
      <c r="Y13" s="184">
        <f t="shared" si="6"/>
        <v>101</v>
      </c>
      <c r="Z13" s="184">
        <f t="shared" si="6"/>
        <v>77</v>
      </c>
      <c r="AA13" s="184">
        <f t="shared" si="6"/>
        <v>94</v>
      </c>
      <c r="AB13" s="184">
        <f t="shared" si="6"/>
        <v>111</v>
      </c>
      <c r="AC13" s="184">
        <f t="shared" si="6"/>
        <v>0</v>
      </c>
      <c r="AD13" s="184">
        <f t="shared" si="6"/>
        <v>0</v>
      </c>
      <c r="AE13" s="184">
        <f t="shared" si="6"/>
        <v>0</v>
      </c>
      <c r="AF13" s="184">
        <f>SUBTOTAL(9,AF9:AF12)</f>
        <v>0</v>
      </c>
      <c r="AG13" s="184">
        <f t="shared" ref="AG13:AT13" si="7">SUBTOTAL(9,AG8:AG12)</f>
        <v>95</v>
      </c>
      <c r="AH13" s="184">
        <f t="shared" si="7"/>
        <v>44</v>
      </c>
      <c r="AI13" s="184">
        <f t="shared" si="7"/>
        <v>60</v>
      </c>
      <c r="AJ13" s="184">
        <f t="shared" si="7"/>
        <v>79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4452</v>
      </c>
      <c r="AZ13" s="184">
        <f>SUBTOTAL(9,AZ8:AZ12)</f>
        <v>894</v>
      </c>
      <c r="BA13" s="184">
        <f>SUBTOTAL(9,BA8:BA12)</f>
        <v>927</v>
      </c>
      <c r="BB13" s="184">
        <f>SUBTOTAL(9,BB8:BB12)</f>
        <v>4419</v>
      </c>
      <c r="BC13" s="184">
        <f>SUBTOTAL(9,BC8:BC12)</f>
        <v>250</v>
      </c>
      <c r="BD13" s="205">
        <f>IF(ISNUMBER(BA13/AZ13),BA13/AZ13," - ")</f>
        <v>1.0369127516778522</v>
      </c>
      <c r="BE13" s="206">
        <f>IF(ISNUMBER(BB13/BA13),BB13/BA13, " - ")</f>
        <v>4.766990291262136</v>
      </c>
      <c r="BF13" s="206">
        <f>IF(ISNUMBER(BC13/BA13),BC13/BA13, " - ")</f>
        <v>0.26968716289104638</v>
      </c>
      <c r="BG13" s="207">
        <f>IF(ISNUMBER((AY13+AZ13)/BA13),(AY13+AZ13)/BA13," - ")</f>
        <v>5.766990291262136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1845</v>
      </c>
      <c r="J16" s="183">
        <v>878</v>
      </c>
      <c r="K16" s="183">
        <v>824</v>
      </c>
      <c r="L16" s="183">
        <v>1906</v>
      </c>
      <c r="M16" s="183">
        <v>146</v>
      </c>
      <c r="N16" s="183">
        <v>464</v>
      </c>
      <c r="O16" s="181">
        <v>7</v>
      </c>
      <c r="P16" s="183">
        <v>89</v>
      </c>
      <c r="Q16" s="183">
        <v>56</v>
      </c>
      <c r="R16" s="183">
        <v>241</v>
      </c>
      <c r="S16" s="183">
        <v>1822</v>
      </c>
      <c r="T16" s="183">
        <v>991</v>
      </c>
      <c r="U16" s="183">
        <v>851</v>
      </c>
      <c r="V16" s="183">
        <v>1962</v>
      </c>
      <c r="W16" s="183">
        <v>147</v>
      </c>
      <c r="X16" s="189">
        <v>445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1822</v>
      </c>
      <c r="AZ16" s="127">
        <f t="shared" si="9"/>
        <v>991</v>
      </c>
      <c r="BA16" s="127">
        <f t="shared" si="9"/>
        <v>851</v>
      </c>
      <c r="BB16" s="127">
        <f t="shared" si="9"/>
        <v>1962</v>
      </c>
      <c r="BC16" s="125">
        <f>IF(ISNUMBER(W16),W16," - ")</f>
        <v>147</v>
      </c>
      <c r="BD16" s="126">
        <f t="shared" ref="BD16" si="11">IF(ISNUMBER(BA16/AZ16),BA16/AZ16," - ")</f>
        <v>0.85872855701311801</v>
      </c>
      <c r="BE16" s="127">
        <f t="shared" ref="BE16" si="12">IF(ISNUMBER(BB16/BA16),BB16/BA16, " - ")</f>
        <v>2.3055229142185665</v>
      </c>
      <c r="BF16" s="127">
        <f t="shared" ref="BF16" si="13">IF(ISNUMBER(BC16/BA16),BC16/BA16, " - ")</f>
        <v>0.17273795534665101</v>
      </c>
      <c r="BG16" s="196">
        <f t="shared" si="10"/>
        <v>3.3055229142185665</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56</v>
      </c>
      <c r="J17" s="183">
        <v>107</v>
      </c>
      <c r="K17" s="183">
        <v>67</v>
      </c>
      <c r="L17" s="183">
        <v>96</v>
      </c>
      <c r="M17" s="183">
        <v>22</v>
      </c>
      <c r="N17" s="183">
        <v>38</v>
      </c>
      <c r="O17" s="183">
        <v>0</v>
      </c>
      <c r="P17" s="183">
        <v>13</v>
      </c>
      <c r="Q17" s="183">
        <v>0</v>
      </c>
      <c r="R17" s="183">
        <v>13</v>
      </c>
      <c r="S17" s="183">
        <v>12</v>
      </c>
      <c r="T17" s="183">
        <v>91</v>
      </c>
      <c r="U17" s="183">
        <v>63</v>
      </c>
      <c r="V17" s="183">
        <v>40</v>
      </c>
      <c r="W17" s="183">
        <v>13</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12</v>
      </c>
      <c r="AZ17" s="129">
        <f t="shared" si="14"/>
        <v>91</v>
      </c>
      <c r="BA17" s="129">
        <f t="shared" si="14"/>
        <v>63</v>
      </c>
      <c r="BB17" s="129">
        <f t="shared" si="14"/>
        <v>40</v>
      </c>
      <c r="BC17" s="125">
        <f>IF(ISNUMBER(W17),W17," - ")</f>
        <v>13</v>
      </c>
      <c r="BD17" s="126">
        <f>IF(ISNUMBER(BA17/AZ17),BA17/AZ17," - ")</f>
        <v>0.69230769230769229</v>
      </c>
      <c r="BE17" s="127">
        <f>IF(ISNUMBER(BB17/BA17),BB17/BA17, " - ")</f>
        <v>0.63492063492063489</v>
      </c>
      <c r="BF17" s="127">
        <f>IF(ISNUMBER(BC17/BA17),BC17/BA17, " - ")</f>
        <v>0.20634920634920634</v>
      </c>
      <c r="BG17" s="196">
        <f>IF(ISNUMBER((AY17+AZ17)/BA17),(AY17+AZ17)/BA17," - ")</f>
        <v>1.6349206349206349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1901</v>
      </c>
      <c r="J18" s="184">
        <f t="shared" si="15"/>
        <v>985</v>
      </c>
      <c r="K18" s="184">
        <f t="shared" si="15"/>
        <v>891</v>
      </c>
      <c r="L18" s="184">
        <f t="shared" si="15"/>
        <v>2002</v>
      </c>
      <c r="M18" s="184">
        <f t="shared" si="15"/>
        <v>168</v>
      </c>
      <c r="N18" s="184">
        <f t="shared" si="15"/>
        <v>502</v>
      </c>
      <c r="O18" s="184">
        <f t="shared" si="15"/>
        <v>7</v>
      </c>
      <c r="P18" s="184">
        <f t="shared" si="15"/>
        <v>102</v>
      </c>
      <c r="Q18" s="184">
        <f t="shared" si="15"/>
        <v>56</v>
      </c>
      <c r="R18" s="184">
        <f t="shared" si="15"/>
        <v>254</v>
      </c>
      <c r="S18" s="184">
        <f t="shared" si="15"/>
        <v>1834</v>
      </c>
      <c r="T18" s="184">
        <f t="shared" si="15"/>
        <v>1082</v>
      </c>
      <c r="U18" s="184">
        <f t="shared" si="15"/>
        <v>914</v>
      </c>
      <c r="V18" s="184">
        <f t="shared" si="15"/>
        <v>2002</v>
      </c>
      <c r="W18" s="184">
        <f t="shared" si="15"/>
        <v>160</v>
      </c>
      <c r="X18" s="184">
        <f t="shared" si="15"/>
        <v>471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1834</v>
      </c>
      <c r="AZ18" s="184">
        <f>SUBTOTAL(9,AZ14:AZ17)</f>
        <v>1082</v>
      </c>
      <c r="BA18" s="184">
        <f>SUBTOTAL(9,BA14:BA17)</f>
        <v>914</v>
      </c>
      <c r="BB18" s="184">
        <f>SUBTOTAL(9,BB14:BB17)</f>
        <v>2002</v>
      </c>
      <c r="BC18" s="184">
        <f>SUBTOTAL(9,BC14:BC17)</f>
        <v>160</v>
      </c>
      <c r="BD18" s="205">
        <f>IF(ISNUMBER(BA18/AZ18),BA18/AZ18," - ")</f>
        <v>0.84473197781885401</v>
      </c>
      <c r="BE18" s="206">
        <f>IF(ISNUMBER(BB18/BA18),BB18/BA18, " - ")</f>
        <v>2.1903719912472646</v>
      </c>
      <c r="BF18" s="206">
        <f>IF(ISNUMBER(BC18/BA18),BC18/BA18, " - ")</f>
        <v>0.17505470459518599</v>
      </c>
      <c r="BG18" s="207">
        <f>IF(ISNUMBER((AY18+AZ18)/BA18),(AY18+AZ18)/BA18," - ")</f>
        <v>3.1903719912472646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6279</v>
      </c>
      <c r="J19" s="134">
        <f t="shared" si="18"/>
        <v>2443</v>
      </c>
      <c r="K19" s="134">
        <f t="shared" si="18"/>
        <v>2089</v>
      </c>
      <c r="L19" s="134">
        <f t="shared" si="18"/>
        <v>6640</v>
      </c>
      <c r="M19" s="134">
        <f t="shared" si="18"/>
        <v>414</v>
      </c>
      <c r="N19" s="134">
        <f t="shared" si="18"/>
        <v>1164</v>
      </c>
      <c r="O19" s="134">
        <f t="shared" si="18"/>
        <v>561</v>
      </c>
      <c r="P19" s="134">
        <f t="shared" si="18"/>
        <v>435</v>
      </c>
      <c r="Q19" s="134">
        <f t="shared" si="18"/>
        <v>258</v>
      </c>
      <c r="R19" s="134">
        <f t="shared" si="18"/>
        <v>6225</v>
      </c>
      <c r="S19" s="134">
        <f t="shared" si="18"/>
        <v>6191</v>
      </c>
      <c r="T19" s="134">
        <f t="shared" si="18"/>
        <v>1932</v>
      </c>
      <c r="U19" s="134">
        <f t="shared" si="18"/>
        <v>1781</v>
      </c>
      <c r="V19" s="134">
        <f t="shared" si="18"/>
        <v>6342</v>
      </c>
      <c r="W19" s="134">
        <f t="shared" si="18"/>
        <v>423</v>
      </c>
      <c r="X19" s="134">
        <f t="shared" si="18"/>
        <v>721</v>
      </c>
      <c r="Y19" s="134">
        <f t="shared" si="18"/>
        <v>101</v>
      </c>
      <c r="Z19" s="134">
        <f t="shared" si="18"/>
        <v>77</v>
      </c>
      <c r="AA19" s="134">
        <f t="shared" si="18"/>
        <v>94</v>
      </c>
      <c r="AB19" s="134">
        <f t="shared" si="18"/>
        <v>111</v>
      </c>
      <c r="AC19" s="134">
        <f t="shared" si="18"/>
        <v>0</v>
      </c>
      <c r="AD19" s="134">
        <f t="shared" si="18"/>
        <v>0</v>
      </c>
      <c r="AE19" s="134">
        <f t="shared" si="18"/>
        <v>0</v>
      </c>
      <c r="AF19" s="134">
        <f t="shared" si="18"/>
        <v>0</v>
      </c>
      <c r="AG19" s="134">
        <f t="shared" si="18"/>
        <v>95</v>
      </c>
      <c r="AH19" s="134">
        <f t="shared" si="18"/>
        <v>44</v>
      </c>
      <c r="AI19" s="134">
        <f t="shared" si="18"/>
        <v>60</v>
      </c>
      <c r="AJ19" s="134">
        <f t="shared" si="18"/>
        <v>79</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6286</v>
      </c>
      <c r="AZ19" s="134">
        <f>SUBTOTAL(9,AZ9:AZ18)</f>
        <v>1976</v>
      </c>
      <c r="BA19" s="134">
        <f>SUBTOTAL(9,BA9:BA18)</f>
        <v>1841</v>
      </c>
      <c r="BB19" s="134">
        <f>SUBTOTAL(9,BB9:BB18)</f>
        <v>6421</v>
      </c>
      <c r="BC19" s="135">
        <f>SUBTOTAL(9,BC9:BC18)</f>
        <v>410</v>
      </c>
      <c r="BD19" s="213">
        <f>IF(ISNUMBER(BA19/AZ19),BA19/AZ19," - ")</f>
        <v>0.93168016194331982</v>
      </c>
      <c r="BE19" s="210">
        <f>IF(ISNUMBER(BB19/BA19),BB19/BA19, " - ")</f>
        <v>3.4877783813145031</v>
      </c>
      <c r="BF19" s="210">
        <f>IF(ISNUMBER(BC19/BA19),BC19/BA19, " - ")</f>
        <v>0.22270505160239001</v>
      </c>
      <c r="BG19" s="135">
        <f>IF(ISNUMBER((AY19+AZ19)/BA19),(AY19+AZ19)/BA19," - ")</f>
        <v>4.4877783813145031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YorWmQo8kSs0kTiT0gsKuwrYRwWoCla0u16kQ2F99qMaLG1Ei2OCMK506dL4Ya0ImfZ4pCMeS0eoWBBCzLvOA==" saltValue="Ta8q6nVlbmAcmFNnR5KjC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nrJ3eRavZx4QZkw4ilYH5w7n/WuM6dN1+D2ORWbK40dtCVUpCWQV9Q+pNPJ+efekHgFvxPVaorA0rrk301eNA==" saltValue="V/JeeM/1bK/2wg+Cgfayg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UTRERA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v>
      </c>
      <c r="AC10" s="226">
        <f>IF(ISNUMBER(Datos!Q10),Datos!Q10," - ")</f>
        <v>0</v>
      </c>
      <c r="AD10" s="334"/>
      <c r="AE10" s="484"/>
      <c r="AF10" s="332">
        <f>IF(ISNUMBER(Datos!L10),Datos!L10,"-")</f>
        <v>18</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0</v>
      </c>
      <c r="BE10" s="229" t="str">
        <f>IF(ISNUMBER(Datos!BW10),Datos!BW10," - ")</f>
        <v xml:space="preserve"> - </v>
      </c>
      <c r="BF10" s="228" t="str">
        <f>IF(ISNUMBER(Datos!BX10),Datos!BX10," - ")</f>
        <v xml:space="preserve"> - </v>
      </c>
      <c r="BG10" s="243">
        <f>IF(ISNUMBER(Datos!K10/Datos!J10),Datos!K10/Datos!J10," - ")</f>
        <v>0.875</v>
      </c>
      <c r="BH10" s="260">
        <f>IF(ISNUMBER(((Datos!L10/Datos!K10)*11)/factor_trimestre),((Datos!L10/Datos!K10)*11)/factor_trimestre," - ")</f>
        <v>3.8571428571428577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77</v>
      </c>
      <c r="O12" s="334"/>
      <c r="P12" s="334"/>
      <c r="Q12" s="226">
        <f>IF(ISNUMBER(Datos!P12),Datos!P12,0)</f>
        <v>330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111</v>
      </c>
      <c r="AI12" s="334" t="str">
        <f>IF(ISNUMBER(Datos!CD12),Datos!CD12,"-")</f>
        <v>-</v>
      </c>
      <c r="AJ12" s="334" t="str">
        <f>IF(ISNUMBER(Datos!EN12),Datos!EN12," - ")</f>
        <v xml:space="preserve"> - </v>
      </c>
      <c r="AK12" s="334"/>
      <c r="AL12" s="479"/>
      <c r="AM12" s="335">
        <f>IF(ISNUMBER(Datos!R12),Datos!R12," - ")</f>
        <v>5966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238</v>
      </c>
      <c r="BD12" s="229">
        <f>IF(ISNUMBER(Datos!N12),Datos!N12," - ")</f>
        <v>662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0.84134298880842662</v>
      </c>
      <c r="BH12" s="260">
        <f>IF(ISNUMBER(((IF(J_V="SI",Datos!L12/Datos!K12,(Datos!L12+Datos!AB12)/(Datos!K12+Datos!AA12)))*11)/factor_trimestre),((IF(J_V="SI",Datos!L12/Datos!K12,(Datos!L12+Datos!AB12)/(Datos!K12+Datos!AA12)))*11)/factor_trimestre," - ")</f>
        <v>11.105633802816902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2.1925316889345667E-2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77</v>
      </c>
      <c r="O13" s="900">
        <f t="shared" si="0"/>
        <v>0</v>
      </c>
      <c r="P13" s="900">
        <f t="shared" si="0"/>
        <v>0</v>
      </c>
      <c r="Q13" s="899">
        <f t="shared" si="0"/>
        <v>333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v>
      </c>
      <c r="AC13" s="899">
        <f t="shared" si="1"/>
        <v>202</v>
      </c>
      <c r="AD13" s="899">
        <f t="shared" si="1"/>
        <v>0</v>
      </c>
      <c r="AE13" s="899">
        <f t="shared" si="1"/>
        <v>0</v>
      </c>
      <c r="AF13" s="899">
        <f t="shared" si="1"/>
        <v>18</v>
      </c>
      <c r="AG13" s="899">
        <f t="shared" si="1"/>
        <v>0</v>
      </c>
      <c r="AH13" s="899">
        <f t="shared" si="1"/>
        <v>111</v>
      </c>
      <c r="AI13" s="899">
        <f t="shared" si="1"/>
        <v>0</v>
      </c>
      <c r="AJ13" s="899">
        <f t="shared" si="1"/>
        <v>0</v>
      </c>
      <c r="AK13" s="899">
        <f t="shared" si="1"/>
        <v>0</v>
      </c>
      <c r="AL13" s="899">
        <f t="shared" si="1"/>
        <v>0</v>
      </c>
      <c r="AM13" s="899">
        <f t="shared" si="1"/>
        <v>5971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246</v>
      </c>
      <c r="BD13" s="899">
        <f t="shared" si="1"/>
        <v>662</v>
      </c>
      <c r="BE13" s="899">
        <f t="shared" si="1"/>
        <v>0</v>
      </c>
      <c r="BF13" s="899">
        <f t="shared" si="1"/>
        <v>0</v>
      </c>
      <c r="BG13" s="899">
        <f>IF(ISNUMBER(Datos!K13/Datos!J13),Datos!K13/Datos!J13," - ")</f>
        <v>0.82167352537722904</v>
      </c>
      <c r="BH13" s="903">
        <f>IF(ISNUMBER(((Datos!L13/Datos!K13)*11)/factor_trimestre),((Datos!L13/Datos!K13)*11)/factor_trimestre," - ")</f>
        <v>11.614357262103505</v>
      </c>
      <c r="BI13" s="899">
        <f>IF(ISNUMBER('Resol  Asuntos'!D13/NºAsuntos!G13),'Resol  Asuntos'!D13/NºAsuntos!G13," - ")</f>
        <v>0.19040247678018576</v>
      </c>
      <c r="BJ13" s="899" t="str">
        <f>IF(ISNUMBER(Datos!CI13/Datos!CJ13),Datos!CI13/Datos!CJ13," - ")</f>
        <v xml:space="preserve"> - </v>
      </c>
      <c r="BK13" s="899">
        <f>SUBTOTAL(9,BK8:BK12)</f>
        <v>0</v>
      </c>
      <c r="BL13" s="899">
        <f>IF(ISNUMBER((I13-AB13+L13)/(F13)),(I13-AB13+L13)/(F13)," - ")</f>
        <v>-0.875</v>
      </c>
      <c r="BM13" s="904">
        <f>SUBTOTAL(9,BM9:BM12)</f>
        <v>1.5219253168893456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1852</v>
      </c>
      <c r="G16" s="598">
        <f>IF(ISNUMBER(IF(D_I="SI",Datos!I16,Datos!I16+Datos!AC16)),IF(D_I="SI",Datos!I16,Datos!I16+Datos!AC16)," - ")</f>
        <v>1845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824</v>
      </c>
      <c r="AC16" s="226">
        <f>IF(ISNUMBER(Datos!Q16),Datos!Q16," - ")</f>
        <v>56</v>
      </c>
      <c r="AD16" s="334"/>
      <c r="AE16" s="484"/>
      <c r="AF16" s="596">
        <f>IF(ISNUMBER(IF(D_I="SI",Datos!L16,Datos!L16+Datos!AF16)),IF(D_I="SI",Datos!L16,Datos!L16+Datos!AF16)," - ")</f>
        <v>1906</v>
      </c>
      <c r="AG16" s="334"/>
      <c r="AH16" s="334"/>
      <c r="AI16" s="334"/>
      <c r="AJ16" s="334"/>
      <c r="AK16" s="334"/>
      <c r="AL16" s="479"/>
      <c r="AM16" s="335">
        <f>IF(ISNUMBER(Datos!R16),Datos!R16," - ")</f>
        <v>241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146</v>
      </c>
      <c r="BD16" s="229">
        <f>IF(ISNUMBER(Datos!N16),Datos!N16," - ")</f>
        <v>464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0.93849658314350792</v>
      </c>
      <c r="BH16" s="260">
        <f>IF(ISNUMBER(((IF(D_I="SI",Datos!L16/Datos!K16,(Datos!L16+Datos!AF16)/(Datos!K16+Datos!AE16)))*11)/factor_trimestre),((IF(D_I="SI",Datos!L16/Datos!K16,(Datos!L16+Datos!AF16)/(Datos!K16+Datos!AE16)))*11)/factor_trimestre," - ")</f>
        <v>6.9393203883495156</v>
      </c>
      <c r="BI16" s="243">
        <f>IF(ISNUMBER('Resol  Asuntos'!D16/NºAsuntos!G16),'Resol  Asuntos'!D16/NºAsuntos!G16," - ")</f>
        <v>0.17718446601941748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67</v>
      </c>
      <c r="AC17" s="226">
        <f>IF(ISNUMBER(Datos!Q17),Datos!Q17," - ")</f>
        <v>0</v>
      </c>
      <c r="AD17" s="334"/>
      <c r="AE17" s="484"/>
      <c r="AF17" s="332">
        <f>IF(ISNUMBER(Datos!L17),Datos!L17,"-")</f>
        <v>96</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38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0.62616822429906538</v>
      </c>
      <c r="BH17" s="260">
        <f>IF(ISNUMBER(((IF(D_I="SI",Datos!L17/Datos!K17,(Datos!L17+Datos!AF17)/(Datos!K17+Datos!AE17)))*11)/factor_trimestre),((IF(D_I="SI",Datos!L17/Datos!K17,(Datos!L17+Datos!AF17)/(Datos!K17+Datos!AE17)))*11)/factor_trimestre," - ")</f>
        <v>4.2985074626865671</v>
      </c>
      <c r="BI17" s="243">
        <f>IF(ISNUMBER('Resol  Asuntos'!D17/NºAsuntos!G17),'Resol  Asuntos'!D17/NºAsuntos!G17," - ")</f>
        <v>0.32835820895522388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1852</v>
      </c>
      <c r="G18" s="898">
        <f>SUBTOTAL(9,G15:G17)</f>
        <v>1901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891</v>
      </c>
      <c r="AC18" s="899">
        <f t="shared" si="4"/>
        <v>56</v>
      </c>
      <c r="AD18" s="899">
        <f t="shared" si="4"/>
        <v>0</v>
      </c>
      <c r="AE18" s="899">
        <f t="shared" si="4"/>
        <v>0</v>
      </c>
      <c r="AF18" s="899">
        <f t="shared" si="4"/>
        <v>2002</v>
      </c>
      <c r="AG18" s="899">
        <f t="shared" si="4"/>
        <v>0</v>
      </c>
      <c r="AH18" s="899">
        <f t="shared" si="4"/>
        <v>0</v>
      </c>
      <c r="AI18" s="899">
        <f t="shared" si="4"/>
        <v>0</v>
      </c>
      <c r="AJ18" s="899">
        <f t="shared" si="4"/>
        <v>0</v>
      </c>
      <c r="AK18" s="899">
        <f t="shared" si="4"/>
        <v>0</v>
      </c>
      <c r="AL18" s="899">
        <f t="shared" si="4"/>
        <v>0</v>
      </c>
      <c r="AM18" s="899">
        <f t="shared" si="4"/>
        <v>254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168</v>
      </c>
      <c r="BD18" s="899">
        <f t="shared" si="4"/>
        <v>502</v>
      </c>
      <c r="BE18" s="899">
        <f t="shared" si="4"/>
        <v>0</v>
      </c>
      <c r="BF18" s="899">
        <f t="shared" si="4"/>
        <v>0</v>
      </c>
      <c r="BG18" s="899">
        <f>IF(ISNUMBER(Datos!K18/Datos!J18),Datos!K18/Datos!J18," - ")</f>
        <v>0.90456852791878173</v>
      </c>
      <c r="BH18" s="903">
        <f>IF(ISNUMBER(((Datos!L18/Datos!K18)*11)/factor_trimestre),((Datos!L18/Datos!K18)*11)/factor_trimestre," - ")</f>
        <v>6.7407407407407414</v>
      </c>
      <c r="BI18" s="899">
        <f>SUBTOTAL(9,BI15:BI17)</f>
        <v>0.50554267497464134</v>
      </c>
      <c r="BJ18" s="899">
        <f>SUBTOTAL(9,BJ15:BJ17)</f>
        <v>0</v>
      </c>
      <c r="BK18" s="899">
        <f>SUBTOTAL(9,BK15:BK17)</f>
        <v>0</v>
      </c>
      <c r="BL18" s="899">
        <f>IF(ISNUMBER((I18-AB18+L18)/(F18)),(I18-AB18+L18)/(F18)," - ")</f>
        <v>-0.4811015118790497</v>
      </c>
      <c r="BM18" s="905">
        <f>IF(ISNUMBER((Datos!P18-Datos!Q18)/(Datos!R18-Datos!P18+Datos!Q18)),(Datos!P18-Datos!Q18)/(Datos!R18-Datos!P18+Datos!Q18)," - ")</f>
        <v>0.22115384615384615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1868</v>
      </c>
      <c r="G19" s="820">
        <f t="shared" si="6"/>
        <v>1917</v>
      </c>
      <c r="H19" s="822">
        <f t="shared" si="6"/>
        <v>0</v>
      </c>
      <c r="I19" s="820">
        <f t="shared" si="6"/>
        <v>0</v>
      </c>
      <c r="J19" s="822">
        <f t="shared" si="6"/>
        <v>0</v>
      </c>
      <c r="K19" s="822">
        <f t="shared" si="6"/>
        <v>0</v>
      </c>
      <c r="L19" s="881">
        <f t="shared" si="6"/>
        <v>0</v>
      </c>
      <c r="M19" s="881">
        <f t="shared" si="6"/>
        <v>0</v>
      </c>
      <c r="N19" s="881">
        <f t="shared" si="6"/>
        <v>77</v>
      </c>
      <c r="O19" s="881">
        <f t="shared" si="6"/>
        <v>0</v>
      </c>
      <c r="P19" s="881">
        <f t="shared" si="6"/>
        <v>0</v>
      </c>
      <c r="Q19" s="822">
        <f t="shared" si="6"/>
        <v>435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905</v>
      </c>
      <c r="AC19" s="821">
        <f t="shared" si="7"/>
        <v>258</v>
      </c>
      <c r="AD19" s="821">
        <f t="shared" si="7"/>
        <v>0</v>
      </c>
      <c r="AE19" s="821">
        <f t="shared" si="7"/>
        <v>0</v>
      </c>
      <c r="AF19" s="828">
        <f t="shared" si="7"/>
        <v>2020</v>
      </c>
      <c r="AG19" s="828">
        <f t="shared" si="7"/>
        <v>0</v>
      </c>
      <c r="AH19" s="828">
        <f t="shared" si="7"/>
        <v>111</v>
      </c>
      <c r="AI19" s="828">
        <f t="shared" si="7"/>
        <v>0</v>
      </c>
      <c r="AJ19" s="821">
        <f t="shared" si="7"/>
        <v>0</v>
      </c>
      <c r="AK19" s="828">
        <f t="shared" si="7"/>
        <v>0</v>
      </c>
      <c r="AL19" s="828">
        <f t="shared" si="7"/>
        <v>0</v>
      </c>
      <c r="AM19" s="828">
        <f t="shared" si="7"/>
        <v>6225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414</v>
      </c>
      <c r="BD19" s="820">
        <f t="shared" si="7"/>
        <v>1164</v>
      </c>
      <c r="BE19" s="820">
        <f t="shared" si="7"/>
        <v>0</v>
      </c>
      <c r="BF19" s="830">
        <f t="shared" si="7"/>
        <v>0</v>
      </c>
      <c r="BG19" s="915">
        <f>IF(ISNUMBER(Datos!K19/Datos!J19),Datos!K19/Datos!J19," - ")</f>
        <v>0.85509619320507568</v>
      </c>
      <c r="BH19" s="915">
        <f>IF(ISNUMBER(((Datos!L19/Datos!K19)*11)/factor_trimestre),((Datos!L19/Datos!K19)*11)/factor_trimestre," - ")</f>
        <v>9.5356629966491138</v>
      </c>
      <c r="BI19" s="813">
        <f>IF(ISNUMBER(Datos!J19/Datos!I19),Datos!J19/Datos!I19," - ")</f>
        <v>0.38907469342251949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-0.48447537473233404</v>
      </c>
      <c r="BM19" s="889">
        <f>IF(ISNUMBER((Datos!P19-Datos!Q19+R19)/(Datos!R19-Datos!P19+Datos!Q19-R19)),(Datos!P19-Datos!Q19+R19)/(Datos!R19-Datos!P19+Datos!Q19-R19)," - ")</f>
        <v>2.9265873015873016E-2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766.8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1060.0150942321529</v>
      </c>
      <c r="G21" s="552">
        <f>IF(ISNUMBER(STDEV(G8:G18)),STDEV(G8:G18),"-")</f>
        <v>1010.1439006399039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453.46389051389747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102.94075966302172</v>
      </c>
      <c r="BD21" s="551"/>
      <c r="BE21" s="551">
        <f>IF(ISNUMBER(STDEV(BE8:BE18)),STDEV(BE8:BE18),"-")</f>
        <v>0</v>
      </c>
      <c r="BF21" s="556">
        <f>IF(ISNUMBER(STDEV(BF8:BF18)),STDEV(BF8:BF18),"-")</f>
        <v>0</v>
      </c>
      <c r="BG21" s="775">
        <f>IF(ISNUMBER(STDEV(BG8:BG18)),STDEV(BG8:BG18),"-")</f>
        <v>0.11043423492729344</v>
      </c>
      <c r="BH21" s="776">
        <f>IF(ISNUMBER(STDEV(BH8:BH18)),STDEV(BH8:BH18),"-")</f>
        <v>3.2956465112923956</v>
      </c>
      <c r="BI21" s="249">
        <f>IF(ISNUMBER(STDEV(BI8:BI18)),STDEV(BI8:BI18),"-")</f>
        <v>0.15291250039007948</v>
      </c>
      <c r="BJ21" s="230" t="str">
        <f>IF(ISNUMBER(BL21/BM21),BL21/BM21," - ")</f>
        <v xml:space="preserve"> - </v>
      </c>
      <c r="BK21" s="575"/>
      <c r="BL21" s="559">
        <f>IF(ISNUMBER(STDEV(BL8:BL18)),STDEV(BL8:BL18),"-")</f>
        <v>0.27852829204945295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4miMeZVrnhE5D7iq7isaEMwYLFoovVBeLWR9+yR3NUu0eEyJQdH7xWWeVhHdC+z/IkFFkCpsg45Ns3fNKJYbQ==" saltValue="4FxBtTXLD7N9590OZqGS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UTRERA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v>
      </c>
      <c r="Z10" s="619">
        <f>IF(ISNUMBER(Datos!Q10),Datos!Q10," - ")</f>
        <v>0</v>
      </c>
      <c r="AA10" s="332">
        <f>IF(ISNUMBER(Datos!L10),Datos!L10,"-")</f>
        <v>18</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8</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3.8571428571428577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202</v>
      </c>
      <c r="AA12" s="332" t="str">
        <f>IF(ISNUMBER(IF(J_V="SI",Datos!L12,Datos!L12+Datos!AB12)-IF(Monitorios="SI",Datos!CD12,0)),
                          IF(J_V="SI",Datos!L12,Datos!L12+Datos!AB12)-IF(Monitorios="SI",Datos!CD12,0),
                          " - ")</f>
        <v xml:space="preserve"> - </v>
      </c>
      <c r="AB12" s="334"/>
      <c r="AC12" s="334"/>
      <c r="AD12" s="484"/>
      <c r="AE12" s="484">
        <f>IF(ISNUMBER(Datos!R12),Datos!R12," - ")</f>
        <v>5966</v>
      </c>
      <c r="AF12" s="229" t="str">
        <f>IF(ISNUMBER(Datos!BV12),Datos!BV12," - ")</f>
        <v xml:space="preserve"> - </v>
      </c>
      <c r="AG12" s="225" t="str">
        <f>IF(ISNUMBER(Datos!DV12),Datos!DV12," - ")</f>
        <v xml:space="preserve"> - </v>
      </c>
      <c r="AH12" s="298"/>
      <c r="AI12" s="227"/>
      <c r="AJ12" s="225">
        <f>IF(ISNUMBER(Datos!M12),Datos!M12," - ")</f>
        <v>238</v>
      </c>
      <c r="AK12" s="229">
        <f>IF(ISNUMBER(Datos!N12),Datos!N12," - ")</f>
        <v>662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11.105633802816902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2.1925316889345667E-2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333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v>
      </c>
      <c r="Z13" s="907">
        <f t="shared" si="2"/>
        <v>202</v>
      </c>
      <c r="AA13" s="900">
        <f t="shared" si="2"/>
        <v>18</v>
      </c>
      <c r="AB13" s="900">
        <f t="shared" si="2"/>
        <v>0</v>
      </c>
      <c r="AC13" s="900">
        <f t="shared" si="2"/>
        <v>0</v>
      </c>
      <c r="AD13" s="900">
        <f t="shared" si="2"/>
        <v>0</v>
      </c>
      <c r="AE13" s="900">
        <f t="shared" si="2"/>
        <v>5971</v>
      </c>
      <c r="AF13" s="908">
        <f t="shared" si="2"/>
        <v>0</v>
      </c>
      <c r="AG13" s="908">
        <f t="shared" si="2"/>
        <v>0</v>
      </c>
      <c r="AH13" s="908">
        <f t="shared" si="2"/>
        <v>0</v>
      </c>
      <c r="AI13" s="908">
        <f t="shared" si="2"/>
        <v>0</v>
      </c>
      <c r="AJ13" s="908">
        <f t="shared" si="2"/>
        <v>246</v>
      </c>
      <c r="AK13" s="908">
        <f t="shared" si="2"/>
        <v>662</v>
      </c>
      <c r="AL13" s="908">
        <f t="shared" si="2"/>
        <v>0</v>
      </c>
      <c r="AM13" s="908">
        <f t="shared" si="2"/>
        <v>0</v>
      </c>
      <c r="AN13" s="908">
        <f t="shared" si="2"/>
        <v>0</v>
      </c>
      <c r="AO13" s="904">
        <f>IF(ISNUMBER(((NºAsuntos!I13/NºAsuntos!G13)*11)/factor_trimestre),((NºAsuntos!I13/NºAsuntos!G13)*11)/factor_trimestre," - ")</f>
        <v>11.027089783281733</v>
      </c>
      <c r="AP13" s="910" t="str">
        <f>IF(ISNUMBER(Datos!CI13/Datos!CJ13),Datos!CI13/Datos!CJ13," - ")</f>
        <v xml:space="preserve"> - </v>
      </c>
      <c r="AQ13" s="928">
        <f t="shared" ref="AQ13:AV13" si="3">SUBTOTAL(9,AQ9:AQ12)</f>
        <v>0</v>
      </c>
      <c r="AR13" s="928">
        <f t="shared" si="3"/>
        <v>1.5219253168893456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1852</v>
      </c>
      <c r="G16" s="225">
        <f>IF(ISNUMBER(IF(D_I="SI",Datos!I16,Datos!I16+Datos!AC16)),IF(D_I="SI",Datos!I16,Datos!I16+Datos!AC16)," - ")</f>
        <v>1845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824</v>
      </c>
      <c r="Z16" s="619">
        <f>IF(ISNUMBER(Datos!Q16),Datos!Q16," - ")</f>
        <v>56</v>
      </c>
      <c r="AA16" s="332">
        <f>IF(ISNUMBER(IF(D_I="SI",Datos!L16,Datos!L16+Datos!AF16)),IF(D_I="SI",Datos!L16,Datos!L16+Datos!AF16)," - ")</f>
        <v>1906</v>
      </c>
      <c r="AB16" s="334"/>
      <c r="AC16" s="334"/>
      <c r="AD16" s="484"/>
      <c r="AE16" s="484">
        <f>IF(ISNUMBER(Datos!R16),Datos!R16," - ")</f>
        <v>241</v>
      </c>
      <c r="AF16" s="229" t="str">
        <f>IF(ISNUMBER(Datos!BV16),Datos!BV16," - ")</f>
        <v xml:space="preserve"> - </v>
      </c>
      <c r="AG16" s="225"/>
      <c r="AH16" s="298"/>
      <c r="AI16" s="227"/>
      <c r="AJ16" s="225">
        <f>IF(ISNUMBER(Datos!M16),Datos!M16," - ")</f>
        <v>146</v>
      </c>
      <c r="AK16" s="229">
        <f>IF(ISNUMBER(Datos!N16),Datos!N16," - ")</f>
        <v>464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6.9393203883495156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67</v>
      </c>
      <c r="Z17" s="619">
        <f>IF(ISNUMBER(Datos!Q17),Datos!Q17," - ")</f>
        <v>0</v>
      </c>
      <c r="AA17" s="332">
        <f>IF(ISNUMBER(Datos!L17),Datos!L17,"-")</f>
        <v>96</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22</v>
      </c>
      <c r="AK17" s="229">
        <f>IF(ISNUMBER(Datos!N17),Datos!N17," - ")</f>
        <v>38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4.2985074626865671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1852</v>
      </c>
      <c r="G18" s="898">
        <f>SUBTOTAL(9,G15:G17)</f>
        <v>1901</v>
      </c>
      <c r="H18" s="932">
        <f>SUBTOTAL(9,H15:H17)</f>
        <v>0</v>
      </c>
      <c r="I18" s="911">
        <f>SUBTOTAL(9,I15:I17)</f>
        <v>0</v>
      </c>
      <c r="J18" s="867">
        <f>SUBTOTAL(9,J14:J17)</f>
        <v>0</v>
      </c>
      <c r="K18" s="932">
        <f t="shared" ref="K18:S18" si="4">SUBTOTAL(9,K15:K17)</f>
        <v>0</v>
      </c>
      <c r="L18" s="932">
        <f t="shared" si="4"/>
        <v>0</v>
      </c>
      <c r="M18" s="932">
        <f t="shared" si="4"/>
        <v>0</v>
      </c>
      <c r="N18" s="932">
        <f t="shared" si="4"/>
        <v>102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891</v>
      </c>
      <c r="Z18" s="932">
        <f t="shared" si="5"/>
        <v>56</v>
      </c>
      <c r="AA18" s="932">
        <f t="shared" si="5"/>
        <v>2002</v>
      </c>
      <c r="AB18" s="932">
        <f t="shared" si="5"/>
        <v>0</v>
      </c>
      <c r="AC18" s="932">
        <f t="shared" si="5"/>
        <v>0</v>
      </c>
      <c r="AD18" s="932">
        <f t="shared" si="5"/>
        <v>0</v>
      </c>
      <c r="AE18" s="932">
        <f t="shared" si="5"/>
        <v>254</v>
      </c>
      <c r="AF18" s="932">
        <f t="shared" si="5"/>
        <v>0</v>
      </c>
      <c r="AG18" s="932">
        <f t="shared" si="5"/>
        <v>0</v>
      </c>
      <c r="AH18" s="932">
        <f t="shared" si="5"/>
        <v>0</v>
      </c>
      <c r="AI18" s="932">
        <f t="shared" si="5"/>
        <v>0</v>
      </c>
      <c r="AJ18" s="932">
        <f t="shared" si="5"/>
        <v>168</v>
      </c>
      <c r="AK18" s="932">
        <f t="shared" si="5"/>
        <v>502</v>
      </c>
      <c r="AL18" s="932">
        <f t="shared" si="5"/>
        <v>0</v>
      </c>
      <c r="AM18" s="932">
        <f t="shared" si="5"/>
        <v>0</v>
      </c>
      <c r="AN18" s="932">
        <f t="shared" si="5"/>
        <v>0</v>
      </c>
      <c r="AO18" s="934">
        <f>IF(ISNUMBER(((NºAsuntos!I18/NºAsuntos!G18)*11)/factor_trimestre),((NºAsuntos!I18/NºAsuntos!G18)*11)/factor_trimestre," - ")</f>
        <v>6.7407407407407414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1868</v>
      </c>
      <c r="G19" s="820">
        <f t="shared" si="7"/>
        <v>1917</v>
      </c>
      <c r="H19" s="821">
        <f t="shared" si="7"/>
        <v>0</v>
      </c>
      <c r="I19" s="820">
        <f t="shared" si="7"/>
        <v>0</v>
      </c>
      <c r="J19" s="822">
        <f t="shared" si="7"/>
        <v>0</v>
      </c>
      <c r="K19" s="820">
        <f t="shared" si="7"/>
        <v>0</v>
      </c>
      <c r="L19" s="823">
        <f t="shared" si="7"/>
        <v>0</v>
      </c>
      <c r="M19" s="820">
        <f t="shared" si="7"/>
        <v>0</v>
      </c>
      <c r="N19" s="821">
        <f t="shared" si="7"/>
        <v>435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905</v>
      </c>
      <c r="Z19" s="827">
        <f t="shared" si="8"/>
        <v>258</v>
      </c>
      <c r="AA19" s="828">
        <f t="shared" si="8"/>
        <v>2020</v>
      </c>
      <c r="AB19" s="828">
        <f t="shared" si="8"/>
        <v>0</v>
      </c>
      <c r="AC19" s="828">
        <f t="shared" si="8"/>
        <v>0</v>
      </c>
      <c r="AD19" s="829">
        <f t="shared" si="8"/>
        <v>0</v>
      </c>
      <c r="AE19" s="829">
        <f t="shared" si="8"/>
        <v>6225</v>
      </c>
      <c r="AF19" s="830">
        <f t="shared" si="8"/>
        <v>0</v>
      </c>
      <c r="AG19" s="831">
        <f t="shared" si="8"/>
        <v>0</v>
      </c>
      <c r="AH19" s="832">
        <f t="shared" si="8"/>
        <v>0</v>
      </c>
      <c r="AI19" s="830">
        <f t="shared" si="8"/>
        <v>0</v>
      </c>
      <c r="AJ19" s="820">
        <f t="shared" si="8"/>
        <v>414</v>
      </c>
      <c r="AK19" s="820">
        <f t="shared" si="8"/>
        <v>1164</v>
      </c>
      <c r="AL19" s="820">
        <f t="shared" si="8"/>
        <v>0</v>
      </c>
      <c r="AM19" s="833">
        <f t="shared" si="8"/>
        <v>0</v>
      </c>
      <c r="AN19" s="823">
        <f>IF(ISNUMBER(Datos!K19/Datos!J19),Datos!K19/Datos!J19," - ")</f>
        <v>0.85509619320507568</v>
      </c>
      <c r="AO19" s="823">
        <f>IF(ISNUMBER(FIND("06",Criterios!A8,1)),(IF(ISNUMBER(((Datos!R19/Datos!Q19)*11)/factor_trimestre),((Datos!R19/Datos!Q19)*11)/factor_trimestre," - ")),(IF(ISNUMBER(((Datos!L19/Datos!K19)*11)/factor_trimestre),((Datos!L19/Datos!K19)*11)/factor_trimestre," - ")))</f>
        <v>9.5356629966491138</v>
      </c>
      <c r="AP19" s="834" t="str">
        <f>IF(ISNUMBER(Datos!CI19/Datos!CJ19),Datos!CI19/Datos!CJ19," - ")</f>
        <v xml:space="preserve"> - </v>
      </c>
      <c r="AQ19" s="834">
        <f>IF(OR(ISNUMBER(FIND("01",Criterios!A8,1)),ISNUMBER(FIND("02",Criterios!A8,1)),ISNUMBER(FIND("03",Criterios!A8,1)),ISNUMBER(FIND("04",Criterios!A8,1))),(J19-Y19+K19)/(F19-K19),(I19-Y19+K19)/(F19-K19))</f>
        <v>-0.48447537473233404</v>
      </c>
      <c r="AR19" s="834">
        <f>IF(ISNUMBER((Datos!P19-Datos!Q19+O19)/(Datos!R19-Datos!P19+Datos!Q19-O19)),(Datos!P19-Datos!Q19+O19)/(Datos!R19-Datos!P19+Datos!Q19-O19)," - ")</f>
        <v>2.9265873015873016E-2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766.8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1060.0150942321529</v>
      </c>
      <c r="G21" s="552">
        <f>IF(ISNUMBER(STDEV(G8:G18)),STDEV(G8:G18),"-")</f>
        <v>1010.1439006399039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102.94075966302172</v>
      </c>
      <c r="AK21" s="252"/>
      <c r="AL21" s="252">
        <f>IF(ISNUMBER(STDEV(AL8:AL18)),STDEV(AL8:AL18),"-")</f>
        <v>0</v>
      </c>
      <c r="AM21" s="254">
        <f>IF(ISNUMBER(STDEV(AM8:AM18)),STDEV(AM8:AM18),"-")</f>
        <v>0</v>
      </c>
      <c r="AN21" s="539">
        <f>IF(ISNUMBER(STDEV(AN8:AN18)),STDEV(AN8:AN18),"-")</f>
        <v>0</v>
      </c>
      <c r="AO21" s="540">
        <f>IF(ISNUMBER(STDEV(AO8:AO18)),STDEV(AO8:AO18),"-")</f>
        <v>3.1519645289653981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665WzJlJ5+RpJrQctUew4gq3FlgGW99ILOgi/KTP6FtTlXCTbWplQKPrWxzG81thzInh5rmxd7Lbxt8o4h7eaQ==" saltValue="N63nd/oUotCnOjyhLJSd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7i80w2DpwDADgVv0IaLYbqdVqoTfL9BKjxzUFvWtEIUuy5OPCPcfpp8xYE5EHFhEUJeqq3FbuUY7RgOnHl0bfg==" saltValue="optYXohqVrWE7xWFGw/n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m6M2B+TGI5pm5dYtL+XwUB61By7y0MQ3TcywfywfWKwzU5plj7YkzfMymc0TZJC+m1z9TSEx6TpYeI7S+J11w==" saltValue="jK1rjplhuAKN9RAqCYfzq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UTRERA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0.19040247678018576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0.13463488248598351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dO3DoYtHk2XTPKNz4mBhwtYSTKteg8T2SS6Aixp9RVbo2cibIt/TmoFPeQWUe7gIB6WwJA1eTd4335waiZgd5Q==" saltValue="IYifhdqMl0pTvFdVGVzU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IX9AIeamymx7oifGcy4o8fFpucKAJhwuEiVtobWb8D0sc6N0zLu+59tthnH+TlQXOC1pLgbxqwZ+AzzOkE9bQ==" saltValue="oVUiJ2FOsw5ItF3TaGE1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UTRERA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16</v>
      </c>
      <c r="F10" s="404">
        <f>IF(ISNUMBER(E10/B10),E10/B10," - ")</f>
        <v>16</v>
      </c>
      <c r="G10" s="403">
        <f>IF(ISNUMBER(Datos!K10),Datos!K10," - ")</f>
        <v>14</v>
      </c>
      <c r="H10" s="404">
        <f>IF(ISNUMBER(G10/B10),G10/B10," - ")</f>
        <v>14</v>
      </c>
      <c r="I10" s="403">
        <f>IF(ISNUMBER(Datos!L10),Datos!L10," - ")</f>
        <v>18</v>
      </c>
      <c r="J10" s="404">
        <f>IF(ISNUMBER(I10/B10),I10/B10," - ")</f>
        <v>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4463</v>
      </c>
      <c r="D12" s="404">
        <f>IF(ISNUMBER(C12/Datos!BH12),C12/Datos!BH12," - ")</f>
        <v>1115.75</v>
      </c>
      <c r="E12" s="403">
        <f>IF(ISNUMBER(IF(J_V="SI",Datos!J12,Datos!J12+Datos!Z12)),IF(J_V="SI",Datos!J12,Datos!J12+Datos!Z12)," - ")</f>
        <v>1519</v>
      </c>
      <c r="F12" s="404">
        <f>IF(ISNUMBER(E12/B12),E12/B12," - ")</f>
        <v>379.75</v>
      </c>
      <c r="G12" s="403">
        <f>IF(ISNUMBER(IF(J_V="SI",Datos!K12,Datos!K12+Datos!AA12)),IF(J_V="SI",Datos!K12,Datos!K12+Datos!AA12)," - ")</f>
        <v>1278</v>
      </c>
      <c r="H12" s="404">
        <f>IF(ISNUMBER(G12/B12),G12/B12," - ")</f>
        <v>319.5</v>
      </c>
      <c r="I12" s="403">
        <f>IF(ISNUMBER(IF(J_V="SI",Datos!L12,Datos!L12+Datos!AB12)),IF(J_V="SI",Datos!L12,Datos!L12+Datos!AB12)," - ")</f>
        <v>4731</v>
      </c>
      <c r="J12" s="404">
        <f>IF(ISNUMBER(I12/B12),I12/B12," - ")</f>
        <v>1182.75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4479</v>
      </c>
      <c r="D13" s="850" t="str">
        <f>IF(ISNUMBER(C13/Datos!BI13),C13/Datos!BI13," - ")</f>
        <v xml:space="preserve"> - </v>
      </c>
      <c r="E13" s="849">
        <f>SUBTOTAL(9,E8:E12)</f>
        <v>1535</v>
      </c>
      <c r="F13" s="850">
        <f>IF(ISNUMBER(E13/B13),E13/B13," - ")</f>
        <v>383.75</v>
      </c>
      <c r="G13" s="849">
        <f>SUBTOTAL(9,G8:G12)</f>
        <v>1292</v>
      </c>
      <c r="H13" s="850">
        <f>IF(ISNUMBER(G13/B13),G13/B13," - ")</f>
        <v>323</v>
      </c>
      <c r="I13" s="849">
        <f>SUBTOTAL(9,I8:I12)</f>
        <v>4749</v>
      </c>
      <c r="J13" s="850">
        <f>IF(ISNUMBER(I13/B13),I13/B13," - ")</f>
        <v>1187.25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1845</v>
      </c>
      <c r="D16" s="404">
        <f>IF(ISNUMBER(C16/Datos!BH16),C16/Datos!BH16," - ")</f>
        <v>461.25</v>
      </c>
      <c r="E16" s="403">
        <f>IF(ISNUMBER(IF(D_I="SI",Datos!J16,Datos!J16+Datos!AD16)),IF(D_I="SI",Datos!J16,Datos!J16+Datos!AD16)," - ")</f>
        <v>878</v>
      </c>
      <c r="F16" s="404">
        <f>IF(ISNUMBER(E16/B16),E16/B16," - ")</f>
        <v>219.5</v>
      </c>
      <c r="G16" s="403">
        <f>IF(ISNUMBER(IF(D_I="SI",Datos!K16,Datos!K16+Datos!AE16)),IF(D_I="SI",Datos!K16,Datos!K16+Datos!AE16)," - ")</f>
        <v>824</v>
      </c>
      <c r="H16" s="404">
        <f>IF(ISNUMBER(G16/B16),G16/B16," - ")</f>
        <v>206</v>
      </c>
      <c r="I16" s="403">
        <f>IF(ISNUMBER(IF(D_I="SI",Datos!L16,Datos!L16+Datos!AF16)),IF(D_I="SI",Datos!L16,Datos!L16+Datos!AF16)," - ")</f>
        <v>1906</v>
      </c>
      <c r="J16" s="404">
        <f>IF(ISNUMBER(I16/B16),I16/B16," - ")</f>
        <v>476.5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56</v>
      </c>
      <c r="D17" s="404">
        <f>IF(ISNUMBER(C17/Datos!BH17),C17/Datos!BH17," - ")</f>
        <v>56</v>
      </c>
      <c r="E17" s="403">
        <f>IF(ISNUMBER(IF(D_I="SI",Datos!J17,Datos!J17+Datos!AD17)),IF(D_I="SI",Datos!J17,Datos!J17+Datos!AD17)," - ")</f>
        <v>107</v>
      </c>
      <c r="F17" s="404">
        <f>IF(ISNUMBER(E17/B17),E17/B17," - ")</f>
        <v>107</v>
      </c>
      <c r="G17" s="403">
        <f>IF(ISNUMBER(IF(D_I="SI",Datos!K17,Datos!K17+Datos!AE17)),IF(D_I="SI",Datos!K17,Datos!K17+Datos!AE17)," - ")</f>
        <v>67</v>
      </c>
      <c r="H17" s="404">
        <f>IF(ISNUMBER(G17/B17),G17/B17," - ")</f>
        <v>67</v>
      </c>
      <c r="I17" s="403">
        <f>IF(ISNUMBER(IF(D_I="SI",Datos!L17,Datos!L17+Datos!AF17)),IF(D_I="SI",Datos!L17,Datos!L17+Datos!AF17)," - ")</f>
        <v>96</v>
      </c>
      <c r="J17" s="404">
        <f>IF(ISNUMBER(I17/B17),I17/B17," - ")</f>
        <v>96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1901</v>
      </c>
      <c r="D18" s="850" t="str">
        <f>IF(ISNUMBER(C18/Datos!BI18),C18/Datos!BI18," - ")</f>
        <v xml:space="preserve"> - </v>
      </c>
      <c r="E18" s="849">
        <f>SUBTOTAL(9,E14:E17)</f>
        <v>985</v>
      </c>
      <c r="F18" s="850">
        <f>IF(ISNUMBER(E18/B18),E18/B18," - ")</f>
        <v>246.25</v>
      </c>
      <c r="G18" s="849">
        <f>SUBTOTAL(9,G14:G17)</f>
        <v>891</v>
      </c>
      <c r="H18" s="850">
        <f>IF(ISNUMBER(G18/B18),G18/B18," - ")</f>
        <v>222.75</v>
      </c>
      <c r="I18" s="849">
        <f>SUBTOTAL(9,I14:I17)</f>
        <v>2002</v>
      </c>
      <c r="J18" s="850">
        <f>IF(ISNUMBER(I18/B18),I18/B18," - ")</f>
        <v>500.5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6380</v>
      </c>
      <c r="D19" s="795" t="str">
        <f>IF(ISNUMBER(C19/Datos!BI19),C19/Datos!BI19," - ")</f>
        <v xml:space="preserve"> - </v>
      </c>
      <c r="E19" s="794">
        <f>SUBTOTAL(9,E9:E18)</f>
        <v>2520</v>
      </c>
      <c r="F19" s="795">
        <f>IF(ISNUMBER(E19/B19),E19/B19," - ")</f>
        <v>630</v>
      </c>
      <c r="G19" s="794">
        <f>SUBTOTAL(9,G9:G18)</f>
        <v>2183</v>
      </c>
      <c r="H19" s="795">
        <f>IF(ISNUMBER(G19/B19),G19/B19," - ")</f>
        <v>545.75</v>
      </c>
      <c r="I19" s="794">
        <f>SUBTOTAL(9,I9:I18)</f>
        <v>6751</v>
      </c>
      <c r="J19" s="795">
        <f>IF(ISNUMBER(I19/B19),I19/B19," - ")</f>
        <v>1687.75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20DJnm1b5cf9rg0WuzB1DFWN2tWEucek8l1/uxuZL6VInKGJJP/jk8KhktG+S4PqG+lk0IrZg3FdgvFvTdsEA==" saltValue="AlruHmSR+tF4Ev3L7tQS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UTRERA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v>
      </c>
      <c r="AC10" s="683" t="str">
        <f>IF(ISNUMBER(IF(D_I="SI",DatosP!K17,DatosP!K17+DatosP!AE17)),IF(D_I="SI",DatosP!K17,DatosP!K17+DatosP!AE17)," - ")</f>
        <v xml:space="preserve"> - </v>
      </c>
      <c r="AD10" s="685"/>
      <c r="AE10" s="685"/>
      <c r="AF10" s="688">
        <f>IF(ISNUMBER(Datos!L10),Datos!L10,"-")</f>
        <v>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3.8571428571428577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5966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238</v>
      </c>
      <c r="AM12" s="690">
        <f>IF(ISNUMBER(Datos!N12+DatosP!N16),Datos!N12+DatosP!N16," - ")</f>
        <v>662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11.105633802816902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2.1925316889345667E-2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333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v>
      </c>
      <c r="AC13" s="939">
        <f t="shared" si="1"/>
        <v>0</v>
      </c>
      <c r="AD13" s="939">
        <f t="shared" si="1"/>
        <v>202</v>
      </c>
      <c r="AE13" s="939">
        <f t="shared" si="1"/>
        <v>0</v>
      </c>
      <c r="AF13" s="939">
        <f t="shared" si="1"/>
        <v>18</v>
      </c>
      <c r="AG13" s="939">
        <f t="shared" si="1"/>
        <v>0</v>
      </c>
      <c r="AH13" s="939">
        <f t="shared" si="1"/>
        <v>5966</v>
      </c>
      <c r="AI13" s="939">
        <f t="shared" si="1"/>
        <v>0</v>
      </c>
      <c r="AJ13" s="939">
        <f t="shared" si="1"/>
        <v>0</v>
      </c>
      <c r="AK13" s="939">
        <f t="shared" si="1"/>
        <v>0</v>
      </c>
      <c r="AL13" s="939">
        <f t="shared" si="1"/>
        <v>246</v>
      </c>
      <c r="AM13" s="939">
        <f t="shared" si="1"/>
        <v>662</v>
      </c>
      <c r="AN13" s="939">
        <f t="shared" si="1"/>
        <v>0</v>
      </c>
      <c r="AO13" s="939">
        <f t="shared" si="1"/>
        <v>0</v>
      </c>
      <c r="AP13" s="944">
        <f>IF(ISNUMBER(((Datos!L13/Datos!K13)*11)/factor_trimestre),((Datos!L13/Datos!K13)*11)/factor_trimestre," - ")</f>
        <v>11.614357262103505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-0.875</v>
      </c>
      <c r="AU13" s="939" t="str">
        <f>IF(ISNUMBER((DatosP!#REF!-DatosP!#REF!+DatosP!#REF!)/(DatosP!#REF!+DatosP!#REF!-DatosP!#REF!-DatosP!#REF!)),(DatosP!#REF!-DatosP!#REF!+DatosP!#REF!)/(DatosP!#REF!+DatosP!#REF!-DatosP!#REF!-DatosP!#REF!)," - ")</f>
        <v xml:space="preserve"> - </v>
      </c>
      <c r="AV13" s="945">
        <f>SUBTOTAL(9,AV9:AV12)</f>
        <v>2.1925316889345667E-2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6.7407407407407414</v>
      </c>
      <c r="AQ18" s="944">
        <f>IF(ISNUMBER(((Datos!M18/Datos!L18)*11)/factor_trimestre),((Datos!M18/Datos!L18)*11)/factor_trimestre," - ")</f>
        <v>0.25174825174825177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0.22115384615384615</v>
      </c>
      <c r="AW18" s="946">
        <f>IF(ISNUMBER((Datos!Q18-Datos!R18)/(Datos!S18-Datos!Q18+Datos!R18)),(Datos!Q18-Datos!R18)/(Datos!S18-Datos!Q18+Datos!R18)," - ")</f>
        <v>-9.7440944881889757E-2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333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v>
      </c>
      <c r="AC19" s="957">
        <f t="shared" si="5"/>
        <v>0</v>
      </c>
      <c r="AD19" s="957">
        <f t="shared" si="5"/>
        <v>202</v>
      </c>
      <c r="AE19" s="957">
        <f t="shared" si="5"/>
        <v>0</v>
      </c>
      <c r="AF19" s="958">
        <f t="shared" si="5"/>
        <v>18</v>
      </c>
      <c r="AG19" s="958">
        <f t="shared" si="5"/>
        <v>0</v>
      </c>
      <c r="AH19" s="958">
        <f t="shared" si="5"/>
        <v>5966</v>
      </c>
      <c r="AI19" s="958">
        <f t="shared" si="5"/>
        <v>0</v>
      </c>
      <c r="AJ19" s="959">
        <f t="shared" si="5"/>
        <v>0</v>
      </c>
      <c r="AK19" s="959">
        <f t="shared" si="5"/>
        <v>0</v>
      </c>
      <c r="AL19" s="951">
        <f t="shared" si="5"/>
        <v>246</v>
      </c>
      <c r="AM19" s="951">
        <f t="shared" si="5"/>
        <v>662</v>
      </c>
      <c r="AN19" s="951">
        <f t="shared" si="5"/>
        <v>0</v>
      </c>
      <c r="AO19" s="951">
        <f t="shared" si="5"/>
        <v>0</v>
      </c>
      <c r="AP19" s="951">
        <f>IF(ISNUMBER(((Datos!L19/Datos!K19)*11)/factor_trimestre),((Datos!L19/Datos!K19)*11)/factor_trimestre," - ")</f>
        <v>9.5356629966491138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2.9265873015873016E-2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8.0829037686547611</v>
      </c>
      <c r="AC21" s="738">
        <f>IF(ISNUMBER(STDEV(AC8:AC18)),STDEV(AC8:AC18),"-")</f>
        <v>0</v>
      </c>
      <c r="AD21" s="741"/>
      <c r="AE21" s="741"/>
      <c r="AF21" s="741"/>
      <c r="AG21" s="741"/>
      <c r="AH21" s="741"/>
      <c r="AI21" s="741"/>
      <c r="AJ21" s="742">
        <f>IF(ISNUMBER(STDEV(AJ8:AJ18)),STDEV(AJ8:AJ18),"-")</f>
        <v>0</v>
      </c>
      <c r="AK21" s="744"/>
      <c r="AL21" s="736">
        <f>IF(ISNUMBER(STDEV(AL8:AL18)),STDEV(AL8:AL18),"-")</f>
        <v>137.48696907949738</v>
      </c>
      <c r="AM21" s="736"/>
      <c r="AN21" s="736">
        <f>IF(ISNUMBER(STDEV(AN8:AN18)),STDEV(AN8:AN18),"-")</f>
        <v>0</v>
      </c>
      <c r="AO21" s="742">
        <f>IF(ISNUMBER(STDEV(AO8:AO18)),STDEV(AO8:AO18),"-")</f>
        <v>0</v>
      </c>
      <c r="AP21" s="779">
        <f>IF(ISNUMBER(STDEV(AP8:AP18)),STDEV(AP8:AP18),"-")</f>
        <v>3.6978976241803787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adJFrinlDmPwLOzVxJUauB5OqRVh8LR8lmhvZjkczU2wFZdTlugaCcSzVPr3EiJ6JqiWPzb0uz2SOU7cC+xnw==" saltValue="K+NnEt0e0KOgrCuMehxt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UTRERA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L9pB6Xr+R6suFxqOjzwTp3Gf91CVQAiaj8/L/Z3q5MB5thf+Zuk4shSSh/zLmbOmPygbfj+IHeEfZTdFPrPN2A==" saltValue="6xGAb15C4EcS5uHBV9GA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UTRERA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238</v>
      </c>
      <c r="E12" s="404">
        <f t="shared" si="0"/>
        <v>59.5</v>
      </c>
      <c r="F12" s="403">
        <f>IF(ISNUMBER(Datos!N12),Datos!N12," - ")</f>
        <v>662</v>
      </c>
      <c r="G12" s="404">
        <f t="shared" si="1"/>
        <v>165.5</v>
      </c>
      <c r="H12" s="403">
        <f>IF(ISNUMBER(Datos!O12),Datos!O12," - ")</f>
        <v>554</v>
      </c>
      <c r="I12" s="404">
        <f t="shared" si="2"/>
        <v>138.5</v>
      </c>
      <c r="BZ12" s="1186">
        <f>Datos!EZ12</f>
        <v>0</v>
      </c>
    </row>
    <row r="13" spans="1:78" ht="14.25" thickTop="1" thickBot="1">
      <c r="A13" s="848" t="str">
        <f>Datos!A13</f>
        <v>TOTAL</v>
      </c>
      <c r="B13" s="849">
        <f>Datos!AP13</f>
        <v>4</v>
      </c>
      <c r="C13" s="851">
        <f>Datos!AR13</f>
        <v>4</v>
      </c>
      <c r="D13" s="849">
        <f>SUBTOTAL(9,D9:D12)</f>
        <v>246</v>
      </c>
      <c r="E13" s="850">
        <f t="shared" si="0"/>
        <v>61.5</v>
      </c>
      <c r="F13" s="849">
        <f>SUBTOTAL(9,F9:F12)</f>
        <v>662</v>
      </c>
      <c r="G13" s="850">
        <f t="shared" si="1"/>
        <v>165.5</v>
      </c>
      <c r="H13" s="849">
        <f>SUBTOTAL(9,H9:H12)</f>
        <v>554</v>
      </c>
      <c r="I13" s="850">
        <f>IF(ISNUMBER(H13/B13),H13/B13," - ")</f>
        <v>138.5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146</v>
      </c>
      <c r="E16" s="404">
        <f t="shared" si="3"/>
        <v>36.5</v>
      </c>
      <c r="F16" s="403">
        <f>IF(ISNUMBER(Datos!N16),Datos!N16," - ")</f>
        <v>464</v>
      </c>
      <c r="G16" s="404">
        <f t="shared" si="4"/>
        <v>116</v>
      </c>
      <c r="H16" s="403">
        <f>IF(ISNUMBER(Datos!O16),Datos!O16," - ")</f>
        <v>7</v>
      </c>
      <c r="I16" s="404">
        <f t="shared" si="5"/>
        <v>1.75</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38</v>
      </c>
      <c r="G17" s="404">
        <f>IF(ISNUMBER(F17/B17),F17/B17," - ")</f>
        <v>38</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168</v>
      </c>
      <c r="E18" s="850">
        <f t="shared" si="3"/>
        <v>42</v>
      </c>
      <c r="F18" s="849">
        <f>SUBTOTAL(9,F15:F17)</f>
        <v>502</v>
      </c>
      <c r="G18" s="850">
        <f t="shared" si="4"/>
        <v>125.5</v>
      </c>
      <c r="H18" s="849">
        <f>SUBTOTAL(9,H15:H17)</f>
        <v>7</v>
      </c>
      <c r="I18" s="850">
        <f>IF(ISNUMBER(H18/B18),H18/B18," - ")</f>
        <v>1.75</v>
      </c>
      <c r="BZ18" s="1186"/>
    </row>
    <row r="19" spans="1:78" ht="14.25" thickTop="1" thickBot="1">
      <c r="A19" s="793" t="str">
        <f>Datos!A19</f>
        <v>TOTAL JURISDICCIONES</v>
      </c>
      <c r="B19" s="794">
        <f>Datos!AP19</f>
        <v>4</v>
      </c>
      <c r="C19" s="794">
        <f>Datos!AR19</f>
        <v>4</v>
      </c>
      <c r="D19" s="794">
        <f>SUBTOTAL(9,D8:D18)</f>
        <v>414</v>
      </c>
      <c r="E19" s="795">
        <f>IF(ISNUMBER(D19/B19),D19/B19," - ")</f>
        <v>103.5</v>
      </c>
      <c r="F19" s="794">
        <f>SUBTOTAL(9,F8:F18)</f>
        <v>1164</v>
      </c>
      <c r="G19" s="795">
        <f>IF(ISNUMBER(F19/B19),F19/B19," - ")</f>
        <v>291</v>
      </c>
      <c r="H19" s="794">
        <f>SUBTOTAL(9,H8:H18)</f>
        <v>561</v>
      </c>
      <c r="I19" s="795">
        <f>IF(ISNUMBER(H19/B19),H19/B19," - ")</f>
        <v>140.25</v>
      </c>
    </row>
    <row r="22" spans="1:78">
      <c r="A22" s="391" t="str">
        <f>Criterios!A4</f>
        <v>Fecha Informe: 24 sep. 2025</v>
      </c>
    </row>
    <row r="27" spans="1:78">
      <c r="A27" s="414"/>
    </row>
  </sheetData>
  <sheetProtection algorithmName="SHA-512" hashValue="gN/6l65U3/XDJyeNuHT6f7rlHaNMQFnDUpEwYZQjOnuCfqclRwjSR4FtZBbEHlNiQ8Nq1ctRKGG+r7Kq260qDg==" saltValue="0X4T2bPTnwCzMfQumNT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UTRERA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330</v>
      </c>
      <c r="C12" s="434">
        <f>IF(ISNUMBER(Datos!Q12),Datos!Q12," - ")</f>
        <v>202</v>
      </c>
      <c r="D12" s="408">
        <f>IF(ISNUMBER(Datos!R12),Datos!R12," - ")</f>
        <v>5966</v>
      </c>
    </row>
    <row r="13" spans="1:4" ht="14.25" thickTop="1" thickBot="1">
      <c r="A13" s="848" t="str">
        <f>Datos!A13</f>
        <v>TOTAL</v>
      </c>
      <c r="B13" s="849">
        <f>SUBTOTAL(9,B9:B12)</f>
        <v>333</v>
      </c>
      <c r="C13" s="853">
        <f>SUBTOTAL(9,C9:C12)</f>
        <v>202</v>
      </c>
      <c r="D13" s="851">
        <f>SUBTOTAL(9,D9:D12)</f>
        <v>5971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89</v>
      </c>
      <c r="C16" s="434">
        <f>IF(ISNUMBER(Datos!Q16),Datos!Q16," - ")</f>
        <v>56</v>
      </c>
      <c r="D16" s="408">
        <f>IF(ISNUMBER(Datos!R16),Datos!R16," - ")</f>
        <v>241</v>
      </c>
    </row>
    <row r="17" spans="1:4" ht="13.5" thickBot="1">
      <c r="A17" s="402" t="str">
        <f>Datos!A17</f>
        <v>Jdos. Violencia contra la mujer</v>
      </c>
      <c r="B17" s="433">
        <f>IF(ISNUMBER(Datos!P17),Datos!P17," - ")</f>
        <v>13</v>
      </c>
      <c r="C17" s="434">
        <f>IF(ISNUMBER(Datos!Q17),Datos!Q17," - ")</f>
        <v>0</v>
      </c>
      <c r="D17" s="408">
        <f>IF(ISNUMBER(Datos!R17),Datos!R17," - ")</f>
        <v>13</v>
      </c>
    </row>
    <row r="18" spans="1:4" ht="14.25" thickTop="1" thickBot="1">
      <c r="A18" s="848" t="str">
        <f>Datos!A18</f>
        <v>TOTAL</v>
      </c>
      <c r="B18" s="849">
        <f>SUBTOTAL(9,B15:B17)</f>
        <v>102</v>
      </c>
      <c r="C18" s="853">
        <f>SUBTOTAL(9,C15:C17)</f>
        <v>56</v>
      </c>
      <c r="D18" s="851">
        <f>SUBTOTAL(9,D15:D17)</f>
        <v>254</v>
      </c>
    </row>
    <row r="19" spans="1:4" ht="16.5" customHeight="1" thickTop="1" thickBot="1">
      <c r="A19" s="793" t="str">
        <f>Datos!A19</f>
        <v>TOTAL JURISDICCIONES</v>
      </c>
      <c r="B19" s="798">
        <f>SUBTOTAL(9,B8:B18)</f>
        <v>435</v>
      </c>
      <c r="C19" s="799">
        <f>SUBTOTAL(9,C8:C18)</f>
        <v>258</v>
      </c>
      <c r="D19" s="800">
        <f>SUBTOTAL(9,D8:D18)</f>
        <v>6225</v>
      </c>
    </row>
    <row r="20" spans="1:4" ht="7.5" customHeight="1"/>
    <row r="21" spans="1:4" ht="6" customHeight="1"/>
    <row r="22" spans="1:4">
      <c r="A22" s="391" t="str">
        <f>Criterios!A4</f>
        <v>Fecha Informe: 24 sep. 2025</v>
      </c>
    </row>
    <row r="27" spans="1:4">
      <c r="A27" s="414"/>
    </row>
  </sheetData>
  <sheetProtection algorithmName="SHA-512" hashValue="kGrIb34+UZwHiVj/Q4bQM1hFfyKsbs/AcyX4V/y4noARdOpbEWCu1qrWgo6eZFKFm5SydqMNi7IquXrY+Vj0Dw==" saltValue="VvX2dPks/Ek8ZEVIoyb5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UTRERA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2.2000000000000002</v>
      </c>
      <c r="C10" s="456">
        <f>IF(ISNUMBER((Datos!J10-Datos!T10)/Datos!T10),(Datos!J10-Datos!T10)/Datos!T10," - ")</f>
        <v>0.77777777777777779</v>
      </c>
      <c r="D10" s="456">
        <f>IF(ISNUMBER((Datos!K10-Datos!U10)/Datos!U10),(Datos!K10-Datos!U10)/Datos!U10," - ")</f>
        <v>0.4</v>
      </c>
      <c r="E10" s="456">
        <f>IF(ISNUMBER((Datos!L10-Datos!V10)/Datos!V10),(Datos!L10-Datos!V10)/Datos!V10," - ")</f>
        <v>3.5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-0.21250000000000002</v>
      </c>
      <c r="I10" s="456">
        <f>IF(ISNUMBER(((NºAsuntos!I10/NºAsuntos!G10)-Datos!BE10)/Datos!BE10),((NºAsuntos!I10/NºAsuntos!G10)-Datos!BE10)/Datos!BE10," - ")</f>
        <v>2.2142857142857144</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0.63265306122448983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3.5979311895659996E-3</v>
      </c>
      <c r="C12" s="456">
        <f>IF(ISNUMBER(
   IF(J_V="SI",(Datos!J12-Datos!T12)/Datos!T12,(Datos!J12+Datos!Z12-(Datos!T12+Datos!AH12))/(Datos!T12+Datos!AH12))
     ),IF(J_V="SI",(Datos!J12-Datos!T12)/Datos!T12,(Datos!J12+Datos!Z12-(Datos!T12+Datos!AH12))/(Datos!T12+Datos!AH12))," - ")</f>
        <v>0.71638418079096045</v>
      </c>
      <c r="D12" s="456">
        <f>IF(ISNUMBER(
   IF(J_V="SI",(Datos!K12-Datos!U12)/Datos!U12,(Datos!K12+Datos!AA12-(Datos!U12+Datos!AI12))/(Datos!U12+Datos!AI12))
     ),IF(J_V="SI",(Datos!K12-Datos!U12)/Datos!U12,(Datos!K12+Datos!AA12-(Datos!U12+Datos!AI12))/(Datos!U12+Datos!AI12))," - ")</f>
        <v>0.3936750272628135</v>
      </c>
      <c r="E12" s="456">
        <f>IF(ISNUMBER(
   IF(J_V="SI",(Datos!L12-Datos!V12)/Datos!V12,(Datos!L12+Datos!AB12-(Datos!V12+Datos!AJ12))/(Datos!V12+Datos!AJ12))
     ),IF(J_V="SI",(Datos!L12-Datos!V12)/Datos!V12,(Datos!L12+Datos!AB12-(Datos!V12+Datos!AJ12))/(Datos!V12+Datos!AJ12))," - ")</f>
        <v>7.1574178935447333E-2</v>
      </c>
      <c r="F12" s="456">
        <f>IF(ISNUMBER((Datos!M12-Datos!W12)/Datos!W12),(Datos!M12-Datos!W12)/Datos!W12," - ")</f>
        <v>-9.5057034220532313E-2</v>
      </c>
      <c r="G12" s="457">
        <f>IF(ISNUMBER((Datos!N12-Datos!X12)/Datos!X12),(Datos!N12-Datos!X12)/Datos!X12," - ")</f>
        <v>1.6479999999999999</v>
      </c>
      <c r="H12" s="455">
        <f>IF(ISNUMBER(((NºAsuntos!G12/NºAsuntos!E12)-Datos!BD12)/Datos!BD12),((NºAsuntos!G12/NºAsuntos!E12)-Datos!BD12)/Datos!BD12," - ")</f>
        <v>-0.18801685376722188</v>
      </c>
      <c r="I12" s="456">
        <f>IF(ISNUMBER(((NºAsuntos!I12/NºAsuntos!G12)-Datos!BE12)/Datos!BE12),((NºAsuntos!I12/NºAsuntos!G12)-Datos!BE12)/Datos!BE12," - ")</f>
        <v>-0.23111617990312577</v>
      </c>
      <c r="J12" s="461">
        <f>IF(ISNUMBER((('Resol  Asuntos'!D12/NºAsuntos!G12)-Datos!BF12)/Datos!BF12),(('Resol  Asuntos'!D12/NºAsuntos!G12)-Datos!BF12)/Datos!BF12," - ")</f>
        <v>-0.31691392801251955</v>
      </c>
      <c r="K12" s="462">
        <f>IF(ISNUMBER((((NºAsuntos!C12+NºAsuntos!E12)/NºAsuntos!G12)-Datos!BG12)/Datos!BG12),(((NºAsuntos!C12+NºAsuntos!E12)/NºAsuntos!G12)-Datos!BG12)/Datos!BG12," - ")</f>
        <v>-0.19500209559432111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6.0646900269541778E-3</v>
      </c>
      <c r="C13" s="855">
        <f>IF(ISNUMBER(
   IF(J_V="SI",(Datos!J13-Datos!T13)/Datos!T13,(Datos!J13+Datos!Z13-(Datos!T13+Datos!AH13))/(Datos!T13+Datos!AH13))
     ),IF(J_V="SI",(Datos!J13-Datos!T13)/Datos!T13,(Datos!J13+Datos!Z13-(Datos!T13+Datos!AH13))/(Datos!T13+Datos!AH13))," - ")</f>
        <v>0.71700223713646527</v>
      </c>
      <c r="D13" s="855">
        <f>IF(ISNUMBER(
   IF(J_V="SI",(Datos!K13-Datos!U13)/Datos!U13,(Datos!K13+Datos!AA13-(Datos!U13+Datos!AI13))/(Datos!U13+Datos!AI13))
     ),IF(J_V="SI",(Datos!K13-Datos!U13)/Datos!U13,(Datos!K13+Datos!AA13-(Datos!U13+Datos!AI13))/(Datos!U13+Datos!AI13))," - ")</f>
        <v>0.39374325782092773</v>
      </c>
      <c r="E13" s="855">
        <f>IF(ISNUMBER(
   IF(J_V="SI",(Datos!L13-Datos!V13)/Datos!V13,(Datos!L13+Datos!AB13-(Datos!V13+Datos!AJ13))/(Datos!V13+Datos!AJ13))
     ),IF(J_V="SI",(Datos!L13-Datos!V13)/Datos!V13,(Datos!L13+Datos!AB13-(Datos!V13+Datos!AJ13))/(Datos!V13+Datos!AJ13))," - ")</f>
        <v>7.4677528852681599E-2</v>
      </c>
      <c r="F13" s="856">
        <f>IF(ISNUMBER((Datos!M13-Datos!W13)/Datos!W13),(Datos!M13-Datos!W13)/Datos!W13," - ")</f>
        <v>-6.4638783269961975E-2</v>
      </c>
      <c r="G13" s="857">
        <f>IF(ISNUMBER((Datos!N13-Datos!X13)/Datos!X13),(Datos!N13-Datos!X13)/Datos!X13," - ")</f>
        <v>1.6479999999999999</v>
      </c>
      <c r="H13" s="857">
        <f>IF(ISNUMBER(((NºAsuntos!G13/NºAsuntos!E13)-Datos!BD13)/Datos!BD13),((NºAsuntos!G13/NºAsuntos!E13)-Datos!BD13)/Datos!BD13," - ")</f>
        <v>-0.18826939902807197</v>
      </c>
      <c r="I13" s="857">
        <f>IF(ISNUMBER(((NºAsuntos!I13/NºAsuntos!G13)-Datos!BE13)/Datos!BE13),((NºAsuntos!I13/NºAsuntos!G13)-Datos!BE13)/Datos!BE13," - ")</f>
        <v>-0.22892719098573078</v>
      </c>
      <c r="J13" s="857">
        <f>IF(ISNUMBER((('Resol  Asuntos'!D13/NºAsuntos!G13)-Datos!BF13)/Datos!BF13),(('Resol  Asuntos'!D13/NºAsuntos!G13)-Datos!BF13)/Datos!BF13," - ")</f>
        <v>-0.2939876160990712</v>
      </c>
      <c r="K13" s="857">
        <f>IF(ISNUMBER((((NºAsuntos!C13+NºAsuntos!E13)/NºAsuntos!G13)-Datos!BG13)/Datos!BG13),(((NºAsuntos!C13+NºAsuntos!E13)/NºAsuntos!G13)-Datos!BG13)/Datos!BG13," - ")</f>
        <v>-0.1928547601922215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1.2623490669593854E-2</v>
      </c>
      <c r="C16" s="456">
        <f>IF(ISNUMBER(
   IF(D_I="SI",(Datos!J16-Datos!T16)/Datos!T16,(Datos!J16+Datos!AD16-(Datos!T16+Datos!AL16))/(Datos!T16+Datos!AL16))
     ),IF(D_I="SI",(Datos!J16-Datos!T16)/Datos!T16,(Datos!J16+Datos!AD16-(Datos!T16+Datos!AL16))/(Datos!T16+Datos!AL16))," - ")</f>
        <v>-0.11402623612512613</v>
      </c>
      <c r="D16" s="456">
        <f>IF(ISNUMBER(
   IF(D_I="SI",(Datos!K16-Datos!U16)/Datos!U16,(Datos!K16+Datos!AE16-(Datos!U16+Datos!AM16))/(Datos!U16+Datos!AM16))
     ),IF(D_I="SI",(Datos!K16-Datos!U16)/Datos!U16,(Datos!K16+Datos!AE16-(Datos!U16+Datos!AM16))/(Datos!U16+Datos!AM16))," - ")</f>
        <v>-3.1727379553466509E-2</v>
      </c>
      <c r="E16" s="456">
        <f>IF(ISNUMBER(
   IF(D_I="SI",(Datos!L16-Datos!V16)/Datos!V16,(Datos!L16+Datos!AF16-(Datos!V16+Datos!AN16))/(Datos!V16+Datos!AN16))
     ),IF(D_I="SI",(Datos!L16-Datos!V16)/Datos!V16,(Datos!L16+Datos!AF16-(Datos!V16+Datos!AN16))/(Datos!V16+Datos!AN16))," - ")</f>
        <v>-2.8542303771661569E-2</v>
      </c>
      <c r="F16" s="456">
        <f>IF(ISNUMBER((Datos!M16-Datos!W16)/Datos!W16),(Datos!M16-Datos!W16)/Datos!W16," - ")</f>
        <v>-6.8027210884353739E-3</v>
      </c>
      <c r="G16" s="457">
        <f>IF(ISNUMBER((Datos!N16-Datos!X16)/Datos!X16),(Datos!N16-Datos!X16)/Datos!X16," - ")</f>
        <v>4.2696629213483148E-2</v>
      </c>
      <c r="H16" s="455">
        <f>IF(ISNUMBER(((NºAsuntos!G16/NºAsuntos!E16)-Datos!BD16)/Datos!BD16),((NºAsuntos!G16/NºAsuntos!E16)-Datos!BD16)/Datos!BD16," - ")</f>
        <v>9.2890850640677328E-2</v>
      </c>
      <c r="I16" s="456">
        <f>IF(ISNUMBER(((NºAsuntos!I16/NºAsuntos!G16)-Datos!BE16)/Datos!BE16),((NºAsuntos!I16/NºAsuntos!G16)-Datos!BE16)/Datos!BE16," - ")</f>
        <v>3.2894411290243244E-3</v>
      </c>
      <c r="J16" s="461">
        <f>IF(ISNUMBER((('Resol  Asuntos'!D16/NºAsuntos!G16)-Datos!BF16)/Datos!BF16),(('Resol  Asuntos'!D16/NºAsuntos!G16)-Datos!BF16)/Datos!BF16," - ")</f>
        <v>2.5741364506967783E-2</v>
      </c>
      <c r="K16" s="462">
        <f>IF(ISNUMBER((((NºAsuntos!C16+NºAsuntos!E16)/NºAsuntos!G16)-Datos!BG16)/Datos!BG16),(((NºAsuntos!C16+NºAsuntos!E16)/NºAsuntos!G16)-Datos!BG16)/Datos!BG16," - ")</f>
        <v>-2.7567914571388364E-4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3.6666666666666665</v>
      </c>
      <c r="C17" s="456">
        <f>IF(ISNUMBER(
   IF(D_I="SI",(Datos!J17-Datos!T17)/Datos!T17,(Datos!J17+Datos!AD17-(Datos!T17+Datos!AL17))/(Datos!T17+Datos!AL17))
     ),IF(D_I="SI",(Datos!J17-Datos!T17)/Datos!T17,(Datos!J17+Datos!AD17-(Datos!T17+Datos!AL17))/(Datos!T17+Datos!AL17))," - ")</f>
        <v>0.17582417582417584</v>
      </c>
      <c r="D17" s="456">
        <f>IF(ISNUMBER(
   IF(D_I="SI",(Datos!K17-Datos!U17)/Datos!U17,(Datos!K17+Datos!AE17-(Datos!U17+Datos!AM17))/(Datos!U17+Datos!AM17))
     ),IF(D_I="SI",(Datos!K17-Datos!U17)/Datos!U17,(Datos!K17+Datos!AE17-(Datos!U17+Datos!AM17))/(Datos!U17+Datos!AM17))," - ")</f>
        <v>6.3492063492063489E-2</v>
      </c>
      <c r="E17" s="456">
        <f>IF(ISNUMBER(
   IF(D_I="SI",(Datos!L17-Datos!V17)/Datos!V17,(Datos!L17+Datos!AF17-(Datos!V17+Datos!AN17))/(Datos!V17+Datos!AN17))
     ),IF(D_I="SI",(Datos!L17-Datos!V17)/Datos!V17,(Datos!L17+Datos!AF17-(Datos!V17+Datos!AN17))/(Datos!V17+Datos!AN17))," - ")</f>
        <v>1.4</v>
      </c>
      <c r="F17" s="456">
        <f>IF(ISNUMBER((Datos!M17-Datos!W17)/Datos!W17),(Datos!M17-Datos!W17)/Datos!W17," - ")</f>
        <v>0.69230769230769229</v>
      </c>
      <c r="G17" s="457">
        <f>IF(ISNUMBER((Datos!N17-Datos!X17)/Datos!X17),(Datos!N17-Datos!X17)/Datos!X17," - ")</f>
        <v>0.46153846153846156</v>
      </c>
      <c r="H17" s="455">
        <f>IF(ISNUMBER(((NºAsuntos!G17/NºAsuntos!E17)-Datos!BD17)/Datos!BD17),((NºAsuntos!G17/NºAsuntos!E17)-Datos!BD17)/Datos!BD17," - ")</f>
        <v>-9.5534787123572204E-2</v>
      </c>
      <c r="I17" s="456">
        <f>IF(ISNUMBER(((NºAsuntos!I17/NºAsuntos!G17)-Datos!BE17)/Datos!BE17),((NºAsuntos!I17/NºAsuntos!G17)-Datos!BE17)/Datos!BE17," - ")</f>
        <v>1.2567164179104477</v>
      </c>
      <c r="J17" s="461">
        <f>IF(ISNUMBER((('Resol  Asuntos'!D17/NºAsuntos!G17)-Datos!BF17)/Datos!BF17),(('Resol  Asuntos'!D17/NºAsuntos!G17)-Datos!BF17)/Datos!BF17," - ")</f>
        <v>0.59127439724454656</v>
      </c>
      <c r="K17" s="462">
        <f>IF(ISNUMBER((((NºAsuntos!C17+NºAsuntos!E17)/NºAsuntos!G17)-Datos!BG17)/Datos!BG17),(((NºAsuntos!C17+NºAsuntos!E17)/NºAsuntos!G17)-Datos!BG17)/Datos!BG17," - ")</f>
        <v>0.48804521083900898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3.6532170119956381E-2</v>
      </c>
      <c r="C18" s="855">
        <f>IF(ISNUMBER(
   IF(Criterios!B14="SI",(Datos!J18-Datos!T18)/Datos!T18,(Datos!J18+Datos!AD18-(Datos!T18+Datos!AL18))/(Datos!T18+Datos!AL18))
     ),IF(Criterios!B14="SI",(Datos!J18-Datos!T18)/Datos!T18,(Datos!J18+Datos!AD18-(Datos!T18+Datos!AL18))/(Datos!T18+Datos!AL18))," - ")</f>
        <v>-8.9648798521256928E-2</v>
      </c>
      <c r="D18" s="855">
        <f>IF(ISNUMBER(
   IF(Criterios!B14="SI",(Datos!K18-Datos!U18)/Datos!U18,(Datos!K18+Datos!AE18-(Datos!U18+Datos!AM18))/(Datos!U18+Datos!AM18))
     ),IF(Criterios!B14="SI",(Datos!K18-Datos!U18)/Datos!U18,(Datos!K18+Datos!AE18-(Datos!U18+Datos!AM18))/(Datos!U18+Datos!AM18))," - ")</f>
        <v>-2.5164113785557989E-2</v>
      </c>
      <c r="E18" s="855">
        <f>IF(ISNUMBER(
   IF(Criterios!B14="SI",(Datos!L18-Datos!V18)/Datos!V18,(Datos!L18+Datos!AF18-(Datos!V18+Datos!AN18))/(Datos!V18+Datos!AN18))
     ),IF(Criterios!B14="SI",(Datos!L18-Datos!V18)/Datos!V18,(Datos!L18+Datos!AF18-(Datos!V18+Datos!AN18))/(Datos!V18+Datos!AN18))," - ")</f>
        <v>0</v>
      </c>
      <c r="F18" s="856">
        <f>IF(ISNUMBER((Datos!M18-Datos!W18)/Datos!W18),(Datos!M18-Datos!W18)/Datos!W18," - ")</f>
        <v>0.05</v>
      </c>
      <c r="G18" s="857">
        <f>IF(ISNUMBER((Datos!N18-Datos!X18)/Datos!X18),(Datos!N18-Datos!X18)/Datos!X18," - ")</f>
        <v>6.5817409766454352E-2</v>
      </c>
      <c r="H18" s="857">
        <f>IF(ISNUMBER(((NºAsuntos!G18/NºAsuntos!E18)-Datos!BD18)/Datos!BD18),((NºAsuntos!G18/NºAsuntos!E18)-Datos!BD18)/Datos!BD18," - ")</f>
        <v>7.0834953181752508E-2</v>
      </c>
      <c r="I18" s="857">
        <f>IF(ISNUMBER(((NºAsuntos!I18/NºAsuntos!G18)-Datos!BE18)/Datos!BE18),((NºAsuntos!I18/NºAsuntos!G18)-Datos!BE18)/Datos!BE18," - ")</f>
        <v>2.5813692480359342E-2</v>
      </c>
      <c r="J18" s="857">
        <f>IF(ISNUMBER((('Resol  Asuntos'!D18/NºAsuntos!G18)-Datos!BF18)/Datos!BF18),(('Resol  Asuntos'!D18/NºAsuntos!G18)-Datos!BF18)/Datos!BF18," - ")</f>
        <v>7.7104377104377161E-2</v>
      </c>
      <c r="K18" s="857">
        <f>IF(ISNUMBER((((NºAsuntos!C18+NºAsuntos!E18)/NºAsuntos!G18)-Datos!BG18)/Datos!BG18),(((NºAsuntos!C18+NºAsuntos!E18)/NºAsuntos!G18)-Datos!BG18)/Datos!BG18," - ")</f>
        <v>1.5260053668832927E-2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1.4953865733375756E-2</v>
      </c>
      <c r="C19" s="802">
        <f>IF(ISNUMBER(
   IF(J_V="SI",(Datos!J19-Datos!T19)/Datos!T19,(Datos!J19+Datos!Z19-(Datos!T19+Datos!AH19))/(Datos!T19+Datos!AH19))
     ),IF(J_V="SI",(Datos!J19-Datos!T19)/Datos!T19,(Datos!J19+Datos!Z19-(Datos!T19+Datos!AH19))/(Datos!T19+Datos!AH19))," - ")</f>
        <v>0.27530364372469635</v>
      </c>
      <c r="D19" s="802">
        <f>IF(ISNUMBER(
   IF(J_V="SI",(Datos!K19-Datos!U19)/Datos!U19,(Datos!K19+Datos!AA19-(Datos!U19+Datos!AI19))/(Datos!U19+Datos!AI19))
     ),IF(J_V="SI",(Datos!K19-Datos!U19)/Datos!U19,(Datos!K19+Datos!AA19-(Datos!U19+Datos!AI19))/(Datos!U19+Datos!AI19))," - ")</f>
        <v>0.18576860401955458</v>
      </c>
      <c r="E19" s="802">
        <f>IF(ISNUMBER(
   IF(J_V="SI",(Datos!L19-Datos!V19)/Datos!V19,(Datos!L19+Datos!AB19-(Datos!V19+Datos!AJ19))/(Datos!V19+Datos!AJ19))
     ),IF(J_V="SI",(Datos!L19-Datos!V19)/Datos!V19,(Datos!L19+Datos!AB19-(Datos!V19+Datos!AJ19))/(Datos!V19+Datos!AJ19))," - ")</f>
        <v>5.1393863884130198E-2</v>
      </c>
      <c r="F19" s="803">
        <f>IF(ISNUMBER((Datos!M19-Datos!W19)/Datos!W19),(Datos!M19-Datos!W19)/Datos!W19," - ")</f>
        <v>-2.1276595744680851E-2</v>
      </c>
      <c r="G19" s="804">
        <f>IF(ISNUMBER((Datos!N19-Datos!X19)/Datos!X19),(Datos!N19-Datos!X19)/Datos!X19," - ")</f>
        <v>0.61442441054091534</v>
      </c>
      <c r="H19" s="805">
        <f>IF(ISNUMBER((Tasas!B19-Datos!BD19)/Datos!BD19),(Tasas!B19-Datos!BD19)/Datos!BD19," - ")</f>
        <v>-7.020684065768254E-2</v>
      </c>
      <c r="I19" s="806">
        <f>IF(ISNUMBER((Tasas!C19-Datos!BE19)/Datos!BE19),(Tasas!C19-Datos!BE19)/Datos!BE19," - ")</f>
        <v>-0.11332290269780863</v>
      </c>
      <c r="J19" s="807">
        <f>IF(ISNUMBER((Tasas!D19-Datos!BF19)/Datos!BF19),(Tasas!D19-Datos!BF19)/Datos!BF19," - ")</f>
        <v>-0.14843748254248462</v>
      </c>
      <c r="K19" s="807">
        <f>IF(ISNUMBER((Tasas!E19-Datos!BG19)/Datos!BG19),(Tasas!E19-Datos!BG19)/Datos!BG19," - ")</f>
        <v>-9.1541968466749765E-2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6M78T/j8tirMGyE8OTuoLqbN7FDSYUORGFk04rD6DR8WtREZhV/Tom2bUN62Ry1TCKCf7DnO1ZL5XPAW3tZkw==" saltValue="DtSVZa2xeUDJZ5HEyLqT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UTRERA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0.875</v>
      </c>
      <c r="C10" s="443">
        <f>IF(ISNUMBER(NºAsuntos!I10/NºAsuntos!G10),NºAsuntos!I10/NºAsuntos!G10," - ")</f>
        <v>1.2857142857142858</v>
      </c>
      <c r="D10" s="444">
        <f>IF(ISNUMBER('Resol  Asuntos'!D10/NºAsuntos!G10),'Resol  Asuntos'!D10/NºAsuntos!G10," - ")</f>
        <v>0.5714285714285714</v>
      </c>
      <c r="E10" s="445">
        <f>IF(ISNUMBER((NºAsuntos!C10+NºAsuntos!E10)/NºAsuntos!G10),(NºAsuntos!C10+NºAsuntos!E10)/NºAsuntos!G10," - ")</f>
        <v>2.2857142857142856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0.84134298880842662</v>
      </c>
      <c r="C12" s="443">
        <f>IF(ISNUMBER(NºAsuntos!I12/NºAsuntos!G12),NºAsuntos!I12/NºAsuntos!G12," - ")</f>
        <v>3.7018779342723005</v>
      </c>
      <c r="D12" s="444">
        <f>IF(ISNUMBER('Resol  Asuntos'!D12/NºAsuntos!G12),'Resol  Asuntos'!D12/NºAsuntos!G12," - ")</f>
        <v>0.18622848200312989</v>
      </c>
      <c r="E12" s="445">
        <f>IF(ISNUMBER((NºAsuntos!C12+NºAsuntos!E12)/NºAsuntos!G12),(NºAsuntos!C12+NºAsuntos!E12)/NºAsuntos!G12," - ")</f>
        <v>4.68075117370892</v>
      </c>
      <c r="G12" s="463"/>
    </row>
    <row r="13" spans="1:7" ht="14.25" thickTop="1" thickBot="1">
      <c r="A13" s="848" t="str">
        <f>Datos!A13</f>
        <v>TOTAL</v>
      </c>
      <c r="B13" s="858">
        <f>IF(ISNUMBER(NºAsuntos!G13/NºAsuntos!E13),NºAsuntos!G13/NºAsuntos!E13," - ")</f>
        <v>0.84169381107491859</v>
      </c>
      <c r="C13" s="859">
        <f>IF(ISNUMBER(NºAsuntos!I13/NºAsuntos!G13),NºAsuntos!I13/NºAsuntos!G13," - ")</f>
        <v>3.6756965944272446</v>
      </c>
      <c r="D13" s="860">
        <f>IF(ISNUMBER('Resol  Asuntos'!D13/NºAsuntos!G13),'Resol  Asuntos'!D13/NºAsuntos!G13," - ")</f>
        <v>0.19040247678018576</v>
      </c>
      <c r="E13" s="861">
        <f>IF(ISNUMBER((NºAsuntos!C13+NºAsuntos!E13)/NºAsuntos!G13),(NºAsuntos!C13+NºAsuntos!E13)/NºAsuntos!G13," - ")</f>
        <v>4.6547987616099071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0.93849658314350792</v>
      </c>
      <c r="C16" s="443">
        <f>IF(ISNUMBER(NºAsuntos!I16/NºAsuntos!G16),NºAsuntos!I16/NºAsuntos!G16," - ")</f>
        <v>2.313106796116505</v>
      </c>
      <c r="D16" s="444">
        <f>IF(ISNUMBER('Resol  Asuntos'!D16/NºAsuntos!G16),'Resol  Asuntos'!D16/NºAsuntos!G16," - ")</f>
        <v>0.17718446601941748</v>
      </c>
      <c r="E16" s="445">
        <f>IF(ISNUMBER((NºAsuntos!C16+NºAsuntos!E16)/NºAsuntos!G16),(NºAsuntos!C16+NºAsuntos!E16)/NºAsuntos!G16," - ")</f>
        <v>3.304611650485437</v>
      </c>
      <c r="G16" s="463"/>
    </row>
    <row r="17" spans="1:7" ht="13.5" thickBot="1">
      <c r="A17" s="402" t="str">
        <f>Datos!A17</f>
        <v>Jdos. Violencia contra la mujer</v>
      </c>
      <c r="B17" s="442">
        <f>IF(ISNUMBER(NºAsuntos!G17/NºAsuntos!E17),NºAsuntos!G17/NºAsuntos!E17," - ")</f>
        <v>0.62616822429906538</v>
      </c>
      <c r="C17" s="443">
        <f>IF(ISNUMBER(NºAsuntos!I17/NºAsuntos!G17),NºAsuntos!I17/NºAsuntos!G17," - ")</f>
        <v>1.4328358208955223</v>
      </c>
      <c r="D17" s="444">
        <f>IF(ISNUMBER('Resol  Asuntos'!D17/NºAsuntos!G17),'Resol  Asuntos'!D17/NºAsuntos!G17," - ")</f>
        <v>0.32835820895522388</v>
      </c>
      <c r="E17" s="445">
        <f>IF(ISNUMBER((NºAsuntos!C17+NºAsuntos!E17)/NºAsuntos!G17),(NºAsuntos!C17+NºAsuntos!E17)/NºAsuntos!G17," - ")</f>
        <v>2.4328358208955225</v>
      </c>
      <c r="G17" s="463"/>
    </row>
    <row r="18" spans="1:7" ht="14.25" thickTop="1" thickBot="1">
      <c r="A18" s="848" t="str">
        <f>Datos!A18</f>
        <v>TOTAL</v>
      </c>
      <c r="B18" s="858">
        <f>IF(ISNUMBER(NºAsuntos!G18/NºAsuntos!E18),NºAsuntos!G18/NºAsuntos!E18," - ")</f>
        <v>0.90456852791878173</v>
      </c>
      <c r="C18" s="859">
        <f>IF(ISNUMBER(NºAsuntos!I18/NºAsuntos!G18),NºAsuntos!I18/NºAsuntos!G18," - ")</f>
        <v>2.2469135802469138</v>
      </c>
      <c r="D18" s="862">
        <f>IF(ISNUMBER('Resol  Asuntos'!D18/NºAsuntos!G18),'Resol  Asuntos'!D18/NºAsuntos!G18," - ")</f>
        <v>0.18855218855218855</v>
      </c>
      <c r="E18" s="861">
        <f>IF(ISNUMBER((NºAsuntos!C18+NºAsuntos!E18)/NºAsuntos!G18),(NºAsuntos!C18+NºAsuntos!E18)/NºAsuntos!G18," - ")</f>
        <v>3.2390572390572392</v>
      </c>
      <c r="G18" s="463"/>
    </row>
    <row r="19" spans="1:7" ht="15.75" customHeight="1" thickTop="1" thickBot="1">
      <c r="A19" s="793" t="str">
        <f>Datos!A19</f>
        <v>TOTAL JURISDICCIONES</v>
      </c>
      <c r="B19" s="808">
        <f>IF(ISNUMBER(NºAsuntos!G19/NºAsuntos!E19),NºAsuntos!G19/NºAsuntos!E19," - ")</f>
        <v>0.8662698412698413</v>
      </c>
      <c r="C19" s="809">
        <f>IF(ISNUMBER(NºAsuntos!I19/NºAsuntos!G19),NºAsuntos!I19/NºAsuntos!G19," - ")</f>
        <v>3.0925332111772792</v>
      </c>
      <c r="D19" s="810">
        <f>IF(ISNUMBER('Resol  Asuntos'!D19/NºAsuntos!G19),'Resol  Asuntos'!D19/NºAsuntos!G19," - ")</f>
        <v>0.18964727439303711</v>
      </c>
      <c r="E19" s="811">
        <f>IF(ISNUMBER((NºAsuntos!C19+NºAsuntos!E19)/NºAsuntos!G19),(NºAsuntos!C19+NºAsuntos!E19)/NºAsuntos!G19," - ")</f>
        <v>4.0769583142464496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w8SBc67EH72oLGhz+GTKhldL58YuR9fzRCYbPa7mz80ABz3DjxAlII5hM8AqAD8KRtBuaEfdfKUx9EZ+9YoTA==" saltValue="42wUX4J7kaIljOkocbNh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UTRERA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v>
      </c>
      <c r="X10" s="226">
        <f>IF(ISNUMBER(Datos!Q10),Datos!Q10," - ")</f>
        <v>0</v>
      </c>
      <c r="Y10" s="334">
        <f t="shared" ref="Y10:Y12" si="0">SUM(W10:X10)</f>
        <v>14</v>
      </c>
      <c r="Z10" s="335" t="str">
        <f>IF(ISNUMBER(Datos!CC10),Datos!CC10," - ")</f>
        <v xml:space="preserve"> - </v>
      </c>
      <c r="AA10" s="332">
        <f>IF(ISNUMBER(Datos!L10),Datos!L10,"-")</f>
        <v>18</v>
      </c>
      <c r="AB10" s="334">
        <f>IF(ISNUMBER(Datos!R10),Datos!R10," - ")</f>
        <v>5</v>
      </c>
      <c r="AC10" s="334">
        <f t="shared" ref="AC10:AC12" si="1">IF(ISNUMBER(AA10+AB10),AA10+AB10," - ")</f>
        <v>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0.875</v>
      </c>
      <c r="AM10" s="260">
        <f>IF(ISNUMBER(((NºAsuntos!I10/NºAsuntos!G10)*11)/factor_trimestre),((NºAsuntos!I10/NºAsuntos!G10)*11)/factor_trimestre," - ")</f>
        <v>3.8571428571428577</v>
      </c>
      <c r="AN10" s="244">
        <f>IF(ISNUMBER('Resol  Asuntos'!D10/NºAsuntos!G10),'Resol  Asuntos'!D10/NºAsuntos!G10," - ")</f>
        <v>0.5714285714285714</v>
      </c>
      <c r="AO10" s="245">
        <f>IF(ISNUMBER((NºAsuntos!C10+NºAsuntos!E10)/NºAsuntos!G10),(NºAsuntos!C10+NºAsuntos!E10)/NºAsuntos!G10," - ")</f>
        <v>2.2857142857142856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202</v>
      </c>
      <c r="Y12" s="334">
        <f t="shared" si="0"/>
        <v>202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5966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238</v>
      </c>
      <c r="AJ12" s="229" t="str">
        <f>IF(ISNUMBER(Datos!BW12),Datos!BW12," - ")</f>
        <v xml:space="preserve"> - </v>
      </c>
      <c r="AK12" s="228" t="str">
        <f>IF(ISNUMBER(Datos!BX12),Datos!BX12," - ")</f>
        <v xml:space="preserve"> - </v>
      </c>
      <c r="AL12" s="243">
        <f>IF(ISNUMBER(NºAsuntos!G12/NºAsuntos!E12),NºAsuntos!G12/NºAsuntos!E12," - ")</f>
        <v>0.84134298880842662</v>
      </c>
      <c r="AM12" s="260">
        <f>IF(ISNUMBER(((NºAsuntos!I12/NºAsuntos!G12)*11)/factor_trimestre),((NºAsuntos!I12/NºAsuntos!G12)*11)/factor_trimestre," - ")</f>
        <v>11.105633802816902</v>
      </c>
      <c r="AN12" s="244">
        <f>IF(ISNUMBER('Resol  Asuntos'!D12/NºAsuntos!G12),'Resol  Asuntos'!D12/NºAsuntos!G12," - ")</f>
        <v>0.18622848200312989</v>
      </c>
      <c r="AO12" s="245">
        <f>IF(ISNUMBER((NºAsuntos!C12+NºAsuntos!E12)/NºAsuntos!G12),(NºAsuntos!C12+NºAsuntos!E12)/NºAsuntos!G12," - ")</f>
        <v>4.68075117370892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16</v>
      </c>
      <c r="G13" s="866">
        <f t="shared" si="3"/>
        <v>16</v>
      </c>
      <c r="H13" s="865">
        <f t="shared" si="3"/>
        <v>0</v>
      </c>
      <c r="I13" s="867">
        <f t="shared" si="3"/>
        <v>0</v>
      </c>
      <c r="J13" s="867">
        <f t="shared" si="3"/>
        <v>0</v>
      </c>
      <c r="K13" s="867">
        <f t="shared" si="3"/>
        <v>0</v>
      </c>
      <c r="L13" s="867">
        <f t="shared" si="3"/>
        <v>333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v>
      </c>
      <c r="X13" s="867">
        <f t="shared" si="4"/>
        <v>202</v>
      </c>
      <c r="Y13" s="868">
        <f t="shared" si="4"/>
        <v>216</v>
      </c>
      <c r="Z13" s="868">
        <f t="shared" si="4"/>
        <v>0</v>
      </c>
      <c r="AA13" s="868">
        <f t="shared" si="4"/>
        <v>18</v>
      </c>
      <c r="AB13" s="868">
        <f t="shared" si="4"/>
        <v>5971</v>
      </c>
      <c r="AC13" s="868">
        <f t="shared" si="4"/>
        <v>23</v>
      </c>
      <c r="AD13" s="868">
        <f t="shared" si="4"/>
        <v>0</v>
      </c>
      <c r="AE13" s="872">
        <f t="shared" si="4"/>
        <v>0</v>
      </c>
      <c r="AF13" s="865">
        <f t="shared" si="4"/>
        <v>0</v>
      </c>
      <c r="AG13" s="873">
        <f t="shared" si="4"/>
        <v>0</v>
      </c>
      <c r="AH13" s="870">
        <f t="shared" si="4"/>
        <v>0</v>
      </c>
      <c r="AI13" s="865">
        <f t="shared" si="4"/>
        <v>246</v>
      </c>
      <c r="AJ13" s="867">
        <f t="shared" si="4"/>
        <v>0</v>
      </c>
      <c r="AK13" s="870">
        <f>SUBTOTAL(9,AK9:AK12)</f>
        <v>0</v>
      </c>
      <c r="AL13" s="874">
        <f>IF(ISNUMBER(NºAsuntos!G13/NºAsuntos!E13),NºAsuntos!G13/NºAsuntos!E13," - ")</f>
        <v>0.84169381107491859</v>
      </c>
      <c r="AM13" s="874">
        <f>IF(ISNUMBER(((NºAsuntos!I13/NºAsuntos!G13)*11)/factor_trimestre),((NºAsuntos!I13/NºAsuntos!G13)*11)/factor_trimestre," - ")</f>
        <v>11.027089783281733</v>
      </c>
      <c r="AN13" s="875">
        <f>IF(ISNUMBER('Resol  Asuntos'!D13/NºAsuntos!G13),'Resol  Asuntos'!D13/NºAsuntos!G13," - ")</f>
        <v>0.19040247678018576</v>
      </c>
      <c r="AO13" s="876">
        <f>IF(ISNUMBER((NºAsuntos!C13+NºAsuntos!E13)/NºAsuntos!G13),(NºAsuntos!C13+NºAsuntos!E13)/NºAsuntos!G13," - ")</f>
        <v>4.6547987616099071</v>
      </c>
      <c r="AP13" s="877" t="str">
        <f t="shared" si="2"/>
        <v xml:space="preserve"> - </v>
      </c>
      <c r="AQ13" s="877">
        <f>IF(ISNUMBER((H13-W13+K13)/(F13)),(H13-W13+K13)/(F13)," - ")</f>
        <v>-0.875</v>
      </c>
      <c r="AR13" s="878">
        <f>IF(ISNUMBER((Datos!P13-Datos!Q13)/(Datos!R13-Datos!P13+Datos!Q13)),(Datos!P13-Datos!Q13)/(Datos!R13-Datos!P13+Datos!Q13)," - ")</f>
        <v>2.243150684931507E-2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1852</v>
      </c>
      <c r="G16" s="333">
        <f>IF(ISNUMBER(IF(D_I="SI",Datos!I16,Datos!I16+Datos!AC16)),IF(D_I="SI",Datos!I16,Datos!I16+Datos!AC16)," - ")</f>
        <v>1845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824</v>
      </c>
      <c r="X16" s="226">
        <f>IF(ISNUMBER(Datos!Q16),Datos!Q16," - ")</f>
        <v>56</v>
      </c>
      <c r="Y16" s="334">
        <f t="shared" ref="Y16:Y17" si="7">SUM(W16:X16)</f>
        <v>880</v>
      </c>
      <c r="Z16" s="335" t="str">
        <f>IF(ISNUMBER(Datos!CC16),Datos!CC16," - ")</f>
        <v xml:space="preserve"> - </v>
      </c>
      <c r="AA16" s="332">
        <f>IF(ISNUMBER(IF(D_I="SI",Datos!L16,Datos!L16+Datos!AF16)),IF(D_I="SI",Datos!L16,Datos!L16+Datos!AF16)," - ")</f>
        <v>1906</v>
      </c>
      <c r="AB16" s="334">
        <f>IF(ISNUMBER(Datos!R16),Datos!R16," - ")</f>
        <v>241</v>
      </c>
      <c r="AC16" s="334">
        <f t="shared" si="6"/>
        <v>2147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146</v>
      </c>
      <c r="AJ16" s="231" t="str">
        <f>IF(ISNUMBER(Datos!BW16),Datos!BW16," - ")</f>
        <v xml:space="preserve"> - </v>
      </c>
      <c r="AK16" s="232" t="str">
        <f>IF(ISNUMBER(Datos!BX16),Datos!BX16," - ")</f>
        <v xml:space="preserve"> - </v>
      </c>
      <c r="AL16" s="243">
        <f>IF(ISNUMBER(NºAsuntos!G16/NºAsuntos!E16),NºAsuntos!G16/NºAsuntos!E16," - ")</f>
        <v>0.93849658314350792</v>
      </c>
      <c r="AM16" s="260">
        <f>IF(ISNUMBER(((NºAsuntos!I16/NºAsuntos!G16)*11)/factor_trimestre),((NºAsuntos!I16/NºAsuntos!G16)*11)/factor_trimestre," - ")</f>
        <v>6.9393203883495156</v>
      </c>
      <c r="AN16" s="244">
        <f>IF(ISNUMBER('Resol  Asuntos'!D16/NºAsuntos!G16),'Resol  Asuntos'!D16/NºAsuntos!G16," - ")</f>
        <v>0.17718446601941748</v>
      </c>
      <c r="AO16" s="245">
        <f>IF(ISNUMBER((NºAsuntos!C16+NºAsuntos!E16)/NºAsuntos!G16),(NºAsuntos!C16+NºAsuntos!E16)/NºAsuntos!G16," - ")</f>
        <v>3.304611650485437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67</v>
      </c>
      <c r="X17" s="226">
        <f>IF(ISNUMBER(Datos!Q17),Datos!Q17," - ")</f>
        <v>0</v>
      </c>
      <c r="Y17" s="334">
        <f t="shared" si="7"/>
        <v>67</v>
      </c>
      <c r="Z17" s="335" t="str">
        <f>IF(ISNUMBER(Datos!CC17),Datos!CC17," - ")</f>
        <v xml:space="preserve"> - </v>
      </c>
      <c r="AA17" s="332">
        <f>IF(ISNUMBER(Datos!L17),Datos!L17,"-")</f>
        <v>96</v>
      </c>
      <c r="AB17" s="334">
        <f>IF(ISNUMBER(Datos!R17),Datos!R17," - ")</f>
        <v>13</v>
      </c>
      <c r="AC17" s="334">
        <f t="shared" si="6"/>
        <v>109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0.62616822429906538</v>
      </c>
      <c r="AM17" s="260">
        <f>IF(ISNUMBER(((NºAsuntos!I17/NºAsuntos!G17)*11)/factor_trimestre),((NºAsuntos!I17/NºAsuntos!G17)*11)/factor_trimestre," - ")</f>
        <v>4.2985074626865671</v>
      </c>
      <c r="AN17" s="244">
        <f>IF(ISNUMBER('Resol  Asuntos'!D17/NºAsuntos!G17),'Resol  Asuntos'!D17/NºAsuntos!G17," - ")</f>
        <v>0.32835820895522388</v>
      </c>
      <c r="AO17" s="245">
        <f>IF(ISNUMBER((NºAsuntos!C17+NºAsuntos!E17)/NºAsuntos!G17),(NºAsuntos!C17+NºAsuntos!E17)/NºAsuntos!G17," - ")</f>
        <v>2.4328358208955225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1852</v>
      </c>
      <c r="G18" s="866">
        <f>SUBTOTAL(9,G15:G17)</f>
        <v>1901</v>
      </c>
      <c r="H18" s="865">
        <f t="shared" ref="H18:O18" si="10">SUBTOTAL(9,H14:H17)</f>
        <v>0</v>
      </c>
      <c r="I18" s="867">
        <f t="shared" si="10"/>
        <v>0</v>
      </c>
      <c r="J18" s="867">
        <f t="shared" si="10"/>
        <v>0</v>
      </c>
      <c r="K18" s="867">
        <f t="shared" si="10"/>
        <v>0</v>
      </c>
      <c r="L18" s="867">
        <f t="shared" si="10"/>
        <v>102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891</v>
      </c>
      <c r="X18" s="867">
        <f t="shared" si="11"/>
        <v>56</v>
      </c>
      <c r="Y18" s="868">
        <f t="shared" si="11"/>
        <v>947</v>
      </c>
      <c r="Z18" s="868">
        <f t="shared" si="11"/>
        <v>0</v>
      </c>
      <c r="AA18" s="868">
        <f t="shared" si="11"/>
        <v>2002</v>
      </c>
      <c r="AB18" s="868">
        <f t="shared" si="11"/>
        <v>254</v>
      </c>
      <c r="AC18" s="868">
        <f t="shared" si="11"/>
        <v>2256</v>
      </c>
      <c r="AD18" s="868">
        <f t="shared" si="11"/>
        <v>0</v>
      </c>
      <c r="AE18" s="872">
        <f t="shared" si="11"/>
        <v>0</v>
      </c>
      <c r="AF18" s="865">
        <f t="shared" si="11"/>
        <v>0</v>
      </c>
      <c r="AG18" s="873">
        <f t="shared" si="11"/>
        <v>0</v>
      </c>
      <c r="AH18" s="870">
        <f t="shared" si="11"/>
        <v>0</v>
      </c>
      <c r="AI18" s="865">
        <f t="shared" si="11"/>
        <v>168</v>
      </c>
      <c r="AJ18" s="867">
        <f t="shared" si="11"/>
        <v>0</v>
      </c>
      <c r="AK18" s="870">
        <f t="shared" si="11"/>
        <v>0</v>
      </c>
      <c r="AL18" s="874">
        <f>IF(ISNUMBER(NºAsuntos!G18/NºAsuntos!E18),NºAsuntos!G18/NºAsuntos!E18," - ")</f>
        <v>0.90456852791878173</v>
      </c>
      <c r="AM18" s="874">
        <f>IF(ISNUMBER(((NºAsuntos!I18/NºAsuntos!G18)*11)/factor_trimestre),((NºAsuntos!I18/NºAsuntos!G18)*11)/factor_trimestre," - ")</f>
        <v>6.7407407407407414</v>
      </c>
      <c r="AN18" s="875">
        <f>IF(ISNUMBER('Resol  Asuntos'!D18/NºAsuntos!G18),'Resol  Asuntos'!D18/NºAsuntos!G18," - ")</f>
        <v>0.18855218855218855</v>
      </c>
      <c r="AO18" s="876">
        <f>IF(ISNUMBER((NºAsuntos!C18+NºAsuntos!E18)/NºAsuntos!G18),(NºAsuntos!C18+NºAsuntos!E18)/NºAsuntos!G18," - ")</f>
        <v>3.2390572390572392</v>
      </c>
      <c r="AP18" s="877" t="str">
        <f t="shared" si="2"/>
        <v xml:space="preserve"> - </v>
      </c>
      <c r="AQ18" s="877">
        <f>IF(ISNUMBER((H18-W18+K18)/(F18)),(H18-W18+K18)/(F18)," - ")</f>
        <v>-0.4811015118790497</v>
      </c>
      <c r="AR18" s="878">
        <f>IF(ISNUMBER((Datos!P18-Datos!Q18)/(Datos!R18-Datos!P18+Datos!Q18)),(Datos!P18-Datos!Q18)/(Datos!R18-Datos!P18+Datos!Q18)," - ")</f>
        <v>0.22115384615384615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1868</v>
      </c>
      <c r="G19" s="821">
        <f t="shared" si="13"/>
        <v>1917</v>
      </c>
      <c r="H19" s="820">
        <f t="shared" si="13"/>
        <v>0</v>
      </c>
      <c r="I19" s="822">
        <f t="shared" si="13"/>
        <v>0</v>
      </c>
      <c r="J19" s="822">
        <f t="shared" si="13"/>
        <v>0</v>
      </c>
      <c r="K19" s="881">
        <f t="shared" si="13"/>
        <v>0</v>
      </c>
      <c r="L19" s="822">
        <f t="shared" si="13"/>
        <v>435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905</v>
      </c>
      <c r="X19" s="821">
        <f t="shared" si="14"/>
        <v>258</v>
      </c>
      <c r="Y19" s="828">
        <f t="shared" si="14"/>
        <v>1163</v>
      </c>
      <c r="Z19" s="828">
        <f t="shared" si="14"/>
        <v>0</v>
      </c>
      <c r="AA19" s="828">
        <f t="shared" si="14"/>
        <v>2020</v>
      </c>
      <c r="AB19" s="828">
        <f t="shared" si="14"/>
        <v>6225</v>
      </c>
      <c r="AC19" s="828">
        <f t="shared" si="14"/>
        <v>2279</v>
      </c>
      <c r="AD19" s="828">
        <f t="shared" si="14"/>
        <v>0</v>
      </c>
      <c r="AE19" s="830">
        <f t="shared" si="14"/>
        <v>0</v>
      </c>
      <c r="AF19" s="831">
        <f t="shared" si="14"/>
        <v>0</v>
      </c>
      <c r="AG19" s="832">
        <f t="shared" si="14"/>
        <v>0</v>
      </c>
      <c r="AH19" s="830">
        <f t="shared" si="14"/>
        <v>0</v>
      </c>
      <c r="AI19" s="820">
        <f t="shared" si="14"/>
        <v>414</v>
      </c>
      <c r="AJ19" s="820">
        <f t="shared" si="14"/>
        <v>0</v>
      </c>
      <c r="AK19" s="830">
        <f t="shared" si="14"/>
        <v>0</v>
      </c>
      <c r="AL19" s="884">
        <f>IF(ISNUMBER(NºAsuntos!G19/NºAsuntos!E19),NºAsuntos!G19/NºAsuntos!E19," - ")</f>
        <v>0.8662698412698413</v>
      </c>
      <c r="AM19" s="885">
        <f>IF(ISNUMBER(((NºAsuntos!I19/NºAsuntos!G19)*11)/factor_trimestre),((NºAsuntos!I19/NºAsuntos!G19)*11)/factor_trimestre," - ")</f>
        <v>9.2775996335318389</v>
      </c>
      <c r="AN19" s="885">
        <f>IF(ISNUMBER('Resol  Asuntos'!D19/NºAsuntos!G19),'Resol  Asuntos'!D19/NºAsuntos!G19," - ")</f>
        <v>0.18964727439303711</v>
      </c>
      <c r="AO19" s="886">
        <f>IF(ISNUMBER((NºAsuntos!C19+NºAsuntos!E19)/NºAsuntos!G19),(NºAsuntos!C19+NºAsuntos!E19)/NºAsuntos!G19," - ")</f>
        <v>4.0769583142464496</v>
      </c>
      <c r="AP19" s="887" t="str">
        <f t="shared" si="2"/>
        <v xml:space="preserve"> - </v>
      </c>
      <c r="AQ19" s="888">
        <f>IF(OR(ISNUMBER(FIND("01",Criterios!A8,1)),ISNUMBER(FIND("02",Criterios!A8,1)),ISNUMBER(FIND("03",Criterios!A8,1)),ISNUMBER(FIND("04",Criterios!A8,1))),(I19-W19+K19)/(F19-K19),(H19-W19+K19)/(F19-K19))</f>
        <v>-0.48447537473233404</v>
      </c>
      <c r="AR19" s="889">
        <f>IF(ISNUMBER((Datos!P19-Datos!Q19)/(Datos!R19-Datos!P19+Datos!Q19)),(Datos!P19-Datos!Q19)/(Datos!R19-Datos!P19+Datos!Q19)," - ")</f>
        <v>2.9265873015873016E-2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766.8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1060.0150942321529</v>
      </c>
      <c r="G21" s="253">
        <f>IF(ISNUMBER(STDEV(G8:G18)),STDEV(G8:G18),"-")</f>
        <v>1010.1439006399039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453.46389051389747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102.94075966302172</v>
      </c>
      <c r="AJ21" s="252">
        <f t="shared" si="18"/>
        <v>0</v>
      </c>
      <c r="AK21" s="254">
        <f t="shared" si="18"/>
        <v>0</v>
      </c>
      <c r="AL21" s="249">
        <f t="shared" si="18"/>
        <v>0.11026999987310651</v>
      </c>
      <c r="AM21" s="250">
        <f t="shared" si="18"/>
        <v>3.1519645289653981</v>
      </c>
      <c r="AN21" s="250">
        <f t="shared" si="18"/>
        <v>0.15670670925877864</v>
      </c>
      <c r="AO21" s="251">
        <f t="shared" si="18"/>
        <v>1.0411883071419616</v>
      </c>
      <c r="AP21" s="291" t="str">
        <f t="shared" si="18"/>
        <v>-</v>
      </c>
      <c r="AQ21" s="292">
        <f t="shared" si="18"/>
        <v>0.27852829204945295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YaML59+kWazosQSoGAT9OANpunMgZ7vPhELuhgS1T08KNyC92PzJLsDZqfY2kCoDPKCgQlKpTK1T08JShyVB/A==" saltValue="oG3CRGs4Oukqx4wswsnx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UTRERA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2.2000000000000002</v>
      </c>
      <c r="E10" s="348">
        <f>IF(ISNUMBER((Datos!J10-Datos!T10)/Datos!T10),(Datos!J10-Datos!T10)/Datos!T10," - ")</f>
        <v>0.77777777777777779</v>
      </c>
      <c r="F10" s="348">
        <f>IF(ISNUMBER((Datos!K10-Datos!U10)/Datos!U10),(Datos!K10-Datos!U10)/Datos!U10," - ")</f>
        <v>0.4</v>
      </c>
      <c r="G10" s="349">
        <f>IF(ISNUMBER((Datos!L10-Datos!V10)/Datos!V10),(Datos!L10-Datos!V10)/Datos!V10," - ")</f>
        <v>3.5</v>
      </c>
      <c r="H10" s="230" t="str">
        <f>IF(ISNUMBER((Datos!M10-Datos!W10)/Datos!W10),(Datos!M10-Datos!W10)/Datos!W10," - ")</f>
        <v xml:space="preserve"> - </v>
      </c>
      <c r="I10" s="350">
        <f>IF(ISNUMBER((Tasas!C10-Datos!BE10)/Datos!BE10),(Tasas!C10-Datos!BE10)/Datos!BE10," - ")</f>
        <v>2.2142857142857144</v>
      </c>
      <c r="J10" s="349" t="str">
        <f>IF(ISNUMBER((Tasas!D10-Datos!BF10)/Datos!BF10),(Tasas!D10-Datos!BF10)/Datos!BF10," - ")</f>
        <v xml:space="preserve"> - </v>
      </c>
      <c r="K10" s="351">
        <f>IF(ISNUMBER((Tasas!E10-Datos!BG10)/Datos!BG10),(Tasas!E10-Datos!BG10)/Datos!BG10," - ")</f>
        <v>0.63265306122448983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-9.5057034220532313E-2</v>
      </c>
      <c r="I12" s="350">
        <f>IF(ISNUMBER((Tasas!C12-Datos!BE12)/Datos!BE12),(Tasas!C12-Datos!BE12)/Datos!BE12," - ")</f>
        <v>-0.23111617990312577</v>
      </c>
      <c r="J12" s="349">
        <f>IF(ISNUMBER((Tasas!D12-Datos!BF12)/Datos!BF12),(Tasas!D12-Datos!BF12)/Datos!BF12," - ")</f>
        <v>-0.31691392801251955</v>
      </c>
      <c r="K12" s="351">
        <f>IF(ISNUMBER((Tasas!E12-Datos!BG12)/Datos!BG12),(Tasas!E12-Datos!BG12)/Datos!BG12," - ")</f>
        <v>-0.19500209559432111</v>
      </c>
      <c r="M12" t="e">
        <f>IF(Monitorios="SI",Datos!CE12,0)</f>
        <v>#REF!</v>
      </c>
      <c r="N12" t="e">
        <f>IF(Monitorios="SI",Datos!CF12,0)</f>
        <v>#REF!</v>
      </c>
      <c r="O12" t="e">
        <f>IF(Monitorios="SI",Datos!CG12,0)</f>
        <v>#REF!</v>
      </c>
      <c r="P12" t="e">
        <f>IF(Monitorios="SI",Datos!CH12,0)</f>
        <v>#REF!</v>
      </c>
      <c r="Q12">
        <f>IF(J_V="SI",0,Datos!AG12)</f>
        <v>95</v>
      </c>
      <c r="R12">
        <f>IF(J_V="SI",0,Datos!AH12)</f>
        <v>44</v>
      </c>
      <c r="S12">
        <f>IF(J_V="SI",0,Datos!AI12)</f>
        <v>60</v>
      </c>
      <c r="T12">
        <f>IF(J_V="SI",0,Datos!AJ12)</f>
        <v>79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-6.4638783269961975E-2</v>
      </c>
      <c r="I13" s="357">
        <f>IF(ISNUMBER((Tasas!C13-Datos!BE13)/Datos!BE13),(Tasas!C13-Datos!BE13)/Datos!BE13," - ")</f>
        <v>-0.22892719098573078</v>
      </c>
      <c r="J13" s="355">
        <f>IF(ISNUMBER((Tasas!D13-Datos!BF13)/Datos!BF13),(Tasas!D13-Datos!BF13)/Datos!BF13," - ")</f>
        <v>-0.2939876160990712</v>
      </c>
      <c r="K13" s="358">
        <f>IF(ISNUMBER((Tasas!E13-Datos!BG13)/Datos!BG13),(Tasas!E13-Datos!BG13)/Datos!BG13," - ")</f>
        <v>-0.1928547601922215</v>
      </c>
      <c r="M13" t="e">
        <f>IF(Monitorios="SI",Datos!CE13,0)</f>
        <v>#REF!</v>
      </c>
      <c r="N13" t="e">
        <f>IF(Monitorios="SI",Datos!CF13,0)</f>
        <v>#REF!</v>
      </c>
      <c r="O13" t="e">
        <f>IF(Monitorios="SI",Datos!CG13,0)</f>
        <v>#REF!</v>
      </c>
      <c r="P13" t="e">
        <f>IF(Monitorios="SI",Datos!CH13,0)</f>
        <v>#REF!</v>
      </c>
      <c r="Q13">
        <f>IF(J_V="SI",0,Datos!AG13)</f>
        <v>95</v>
      </c>
      <c r="R13">
        <f>IF(J_V="SI",0,Datos!AH13)</f>
        <v>44</v>
      </c>
      <c r="S13">
        <f>IF(J_V="SI",0,Datos!AI13)</f>
        <v>60</v>
      </c>
      <c r="T13">
        <f>IF(J_V="SI",0,Datos!AJ13)</f>
        <v>79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1.2623490669593854E-2</v>
      </c>
      <c r="E16" s="348">
        <f>IF(ISNUMBER(
   IF(D_I="SI",(Datos!J16-Datos!T16)/Datos!T16,(Datos!J16+Datos!AD16-(Datos!T16+Datos!AL16))/(Datos!T16+Datos!AL16))
     ),IF(D_I="SI",(Datos!J16-Datos!T16)/Datos!T16,(Datos!J16+Datos!AD16-(Datos!T16+Datos!AL16))/(Datos!T16+Datos!AL16))," - ")</f>
        <v>-0.11402623612512613</v>
      </c>
      <c r="F16" s="348">
        <f>IF(ISNUMBER(
   IF(D_I="SI",(Datos!K16-Datos!U16)/Datos!U16,(Datos!K16+Datos!AE16-(Datos!U16+Datos!AM16))/(Datos!U16+Datos!AM16))
     ),IF(D_I="SI",(Datos!K16-Datos!U16)/Datos!U16,(Datos!K16+Datos!AE16-(Datos!U16+Datos!AM16))/(Datos!U16+Datos!AM16))," - ")</f>
        <v>-3.1727379553466509E-2</v>
      </c>
      <c r="G16" s="349">
        <f>IF(ISNUMBER(
   IF(D_I="SI",(Datos!L16-Datos!V16)/Datos!V16,(Datos!L16+Datos!AF16-(Datos!V16+Datos!AN16))/(Datos!V16+Datos!AN16))
     ),IF(D_I="SI",(Datos!L16-Datos!V16)/Datos!V16,(Datos!L16+Datos!AF16-(Datos!V16+Datos!AN16))/(Datos!V16+Datos!AN16))," - ")</f>
        <v>-2.8542303771661569E-2</v>
      </c>
      <c r="H16" s="230">
        <f>IF(ISNUMBER((Datos!M16-Datos!W16)/Datos!W16),(Datos!M16-Datos!W16)/Datos!W16," - ")</f>
        <v>-6.8027210884353739E-3</v>
      </c>
      <c r="I16" s="350">
        <f>IF(ISNUMBER((Tasas!C16-Datos!BE16)/Datos!BE16),(Tasas!C16-Datos!BE16)/Datos!BE16," - ")</f>
        <v>3.2894411290243244E-3</v>
      </c>
      <c r="J16" s="349">
        <f>IF(ISNUMBER((Tasas!D16-Datos!BF16)/Datos!BF16),(Tasas!D16-Datos!BF16)/Datos!BF16," - ")</f>
        <v>2.5741364506967783E-2</v>
      </c>
      <c r="K16" s="351">
        <f>IF(ISNUMBER((Tasas!E16-Datos!BG16)/Datos!BG16),(Tasas!E16-Datos!BG16)/Datos!BG16," - ")</f>
        <v>-2.7567914571388364E-4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3.6666666666666665</v>
      </c>
      <c r="E17" s="348">
        <f>IF(ISNUMBER(
   IF(D_I="SI",(Datos!J17-Datos!T17)/Datos!T17,(Datos!J17+Datos!AD17-(Datos!T17+Datos!AL17))/(Datos!T17+Datos!AL17))
     ),IF(D_I="SI",(Datos!J17-Datos!T17)/Datos!T17,(Datos!J17+Datos!AD17-(Datos!T17+Datos!AL17))/(Datos!T17+Datos!AL17))," - ")</f>
        <v>0.17582417582417584</v>
      </c>
      <c r="F17" s="348">
        <f>IF(ISNUMBER(
   IF(D_I="SI",(Datos!K17-Datos!U17)/Datos!U17,(Datos!K17+Datos!AE17-(Datos!U17+Datos!AM17))/(Datos!U17+Datos!AM17))
     ),IF(D_I="SI",(Datos!K17-Datos!U17)/Datos!U17,(Datos!K17+Datos!AE17-(Datos!U17+Datos!AM17))/(Datos!U17+Datos!AM17))," - ")</f>
        <v>6.3492063492063489E-2</v>
      </c>
      <c r="G17" s="349">
        <f>IF(ISNUMBER(
   IF(D_I="SI",(Datos!L17-Datos!V17)/Datos!V17,(Datos!L17+Datos!AF17-(Datos!V17+Datos!AN17))/(Datos!V17+Datos!AN17))
     ),IF(D_I="SI",(Datos!L17-Datos!V17)/Datos!V17,(Datos!L17+Datos!AF17-(Datos!V17+Datos!AN17))/(Datos!V17+Datos!AN17))," - ")</f>
        <v>1.4</v>
      </c>
      <c r="H17" s="230">
        <f>IF(ISNUMBER((Datos!M17-Datos!W17)/Datos!W17),(Datos!M17-Datos!W17)/Datos!W17," - ")</f>
        <v>0.69230769230769229</v>
      </c>
      <c r="I17" s="350">
        <f>IF(ISNUMBER((Tasas!C17-Datos!BE17)/Datos!BE17),(Tasas!C17-Datos!BE17)/Datos!BE17," - ")</f>
        <v>1.2567164179104477</v>
      </c>
      <c r="J17" s="349">
        <f>IF(ISNUMBER((Tasas!D17-Datos!BF17)/Datos!BF17),(Tasas!D17-Datos!BF17)/Datos!BF17," - ")</f>
        <v>0.59127439724454656</v>
      </c>
      <c r="K17" s="351">
        <f>IF(ISNUMBER((Tasas!E17-Datos!BG17)/Datos!BG17),(Tasas!E17-Datos!BG17)/Datos!BG17," - ")</f>
        <v>0.48804521083900898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3.6532170119956381E-2</v>
      </c>
      <c r="E18" s="354">
        <f>IF(ISNUMBER(
   IF(D_I="SI",(Datos!J18-Datos!T18)/Datos!T18,(Datos!J18+Datos!AD18-(Datos!T18+Datos!AL18))/(Datos!T18+Datos!AL18))
     ),IF(D_I="SI",(Datos!J18-Datos!T18)/Datos!T18,(Datos!J18+Datos!AD18-(Datos!T18+Datos!AL18))/(Datos!T18+Datos!AL18))," - ")</f>
        <v>-8.9648798521256928E-2</v>
      </c>
      <c r="F18" s="354">
        <f>IF(ISNUMBER(
   IF(D_I="SI",(Datos!K18-Datos!U18)/Datos!U18,(Datos!K18+Datos!AE18-(Datos!U18+Datos!AM18))/(Datos!U18+Datos!AM18))
     ),IF(D_I="SI",(Datos!K18-Datos!U18)/Datos!U18,(Datos!K18+Datos!AE18-(Datos!U18+Datos!AM18))/(Datos!U18+Datos!AM18))," - ")</f>
        <v>-2.5164113785557989E-2</v>
      </c>
      <c r="G18" s="355">
        <f>IF(ISNUMBER(
   IF(D_I="SI",(Datos!L18-Datos!V18)/Datos!V18,(Datos!L18+Datos!AF18-(Datos!V18+Datos!AN18))/(Datos!V18+Datos!AN18))
     ),IF(D_I="SI",(Datos!L18-Datos!V18)/Datos!V18,(Datos!L18+Datos!AF18-(Datos!V18+Datos!AN18))/(Datos!V18+Datos!AN18))," - ")</f>
        <v>0</v>
      </c>
      <c r="H18" s="356">
        <f>IF(ISNUMBER((Datos!M18-Datos!W18)/Datos!W18),(Datos!M18-Datos!W18)/Datos!W18," - ")</f>
        <v>0.05</v>
      </c>
      <c r="I18" s="357">
        <f>IF(ISNUMBER((Tasas!C18-Datos!BE18)/Datos!BE18),(Tasas!C18-Datos!BE18)/Datos!BE18," - ")</f>
        <v>2.5813692480359342E-2</v>
      </c>
      <c r="J18" s="355">
        <f>IF(ISNUMBER((Tasas!D18-Datos!BF18)/Datos!BF18),(Tasas!D18-Datos!BF18)/Datos!BF18," - ")</f>
        <v>7.7104377104377161E-2</v>
      </c>
      <c r="K18" s="358">
        <f>IF(ISNUMBER((Tasas!E18-Datos!BG18)/Datos!BG18),(Tasas!E18-Datos!BG18)/Datos!BG18," - ")</f>
        <v>1.5260053668832927E-2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1.4953865733375756E-2</v>
      </c>
      <c r="E19" s="363">
        <f>IF(ISNUMBER(
   IF(J_V="SI",(Datos!J19-Datos!T19)/Datos!T19,(Datos!J19+Datos!Z19-(Datos!T19+Datos!AH19))/(Datos!T19+Datos!AH19))
     ),IF(J_V="SI",(Datos!J19-Datos!T19)/Datos!T19,(Datos!J19+Datos!Z19-(Datos!T19+Datos!AH19))/(Datos!T19+Datos!AH19))," - ")</f>
        <v>0.27530364372469635</v>
      </c>
      <c r="F19" s="363">
        <f>IF(ISNUMBER(
   IF(J_V="SI",(Datos!K19-Datos!U19)/Datos!U19,(Datos!K19+Datos!AA19-(Datos!U19+Datos!AI19))/(Datos!U19+Datos!AI19))
     ),IF(J_V="SI",(Datos!K19-Datos!U19)/Datos!U19,(Datos!K19+Datos!AA19-(Datos!U19+Datos!AI19))/(Datos!U19+Datos!AI19))," - ")</f>
        <v>0.18576860401955458</v>
      </c>
      <c r="G19" s="364">
        <f>IF(ISNUMBER(
   IF(J_V="SI",(Datos!L19-Datos!V19)/Datos!V19,(Datos!L19+Datos!AB19-(Datos!V19+Datos!AJ19))/(Datos!V19+Datos!AJ19))
     ),IF(J_V="SI",(Datos!L19-Datos!V19)/Datos!V19,(Datos!L19+Datos!AB19-(Datos!V19+Datos!AJ19))/(Datos!V19+Datos!AJ19))," - ")</f>
        <v>5.1393863884130198E-2</v>
      </c>
      <c r="H19" s="365">
        <f>IF(ISNUMBER((Datos!M19-Datos!W19)/Datos!W19),(Datos!M19-Datos!W19)/Datos!W19," - ")</f>
        <v>-2.1276595744680851E-2</v>
      </c>
      <c r="I19" s="362">
        <f>IF(ISNUMBER((Tasas!C19-Datos!BE19)/Datos!BE19),(Tasas!C19-Datos!BE19)/Datos!BE19," - ")</f>
        <v>-0.11332290269780863</v>
      </c>
      <c r="J19" s="363">
        <f>IF(ISNUMBER((Tasas!D19-Datos!BF19)/Datos!BF19),(Tasas!D19-Datos!BF19)/Datos!BF19," - ")</f>
        <v>-0.14843748254248462</v>
      </c>
      <c r="K19" s="364">
        <f>IF(ISNUMBER((Tasas!E19-Datos!BG19)/Datos!BG19),(Tasas!E19-Datos!BG19)/Datos!BG19," - ")</f>
        <v>-9.1541968466749765E-2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1.7829469934079578</v>
      </c>
      <c r="E21" s="278">
        <f t="shared" si="1"/>
        <v>0.41484684164432228</v>
      </c>
      <c r="F21" s="278">
        <f t="shared" si="1"/>
        <v>0.2035846224138981</v>
      </c>
      <c r="G21" s="279">
        <f t="shared" si="1"/>
        <v>1.6611280947565938</v>
      </c>
      <c r="H21" s="285">
        <f t="shared" si="1"/>
        <v>0.32739081905135459</v>
      </c>
      <c r="I21" s="277">
        <f t="shared" si="1"/>
        <v>1.0048450135793179</v>
      </c>
      <c r="J21" s="278">
        <f t="shared" si="1"/>
        <v>0.36799837123889978</v>
      </c>
      <c r="K21" s="279">
        <f t="shared" si="1"/>
        <v>0.35233010350728217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p1xh3YBI5Bh2gL02G+J4wsmT73e2E8nOy5HT8KHCAcdJL/iAOJFMqHhhDYEW/enqyUbD57ww3mubChrhfnIWA==" saltValue="YEAlLY1y7TBMkMHZbT2n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